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riss\Dropbox\HVV BOD stuff Jeff\Docs Uploaded\"/>
    </mc:Choice>
  </mc:AlternateContent>
  <xr:revisionPtr revIDLastSave="0" documentId="8_{C459775F-E685-455B-9EB4-DB8D24C480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VV 2019" sheetId="1" r:id="rId1"/>
    <sheet name="Sheet1" sheetId="6" r:id="rId2"/>
    <sheet name="Historical" sheetId="2" r:id="rId3"/>
    <sheet name="Common Area Dues" sheetId="4" r:id="rId4"/>
    <sheet name="Sheet2" sheetId="7" r:id="rId5"/>
    <sheet name="To Do" sheetId="5" r:id="rId6"/>
  </sheets>
  <definedNames>
    <definedName name="Mnths">12</definedName>
    <definedName name="_xlnm.Print_Area" localSheetId="0">'HVV 2019'!$A$1:$P$100</definedName>
    <definedName name="_xlnm.Print_Titles" localSheetId="0">'HVV 2019'!$1:$2</definedName>
    <definedName name="Units">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B2" i="6"/>
  <c r="H39" i="1"/>
  <c r="K31" i="1"/>
  <c r="K33" i="1" s="1"/>
  <c r="K19" i="1"/>
  <c r="K23" i="1" s="1"/>
  <c r="H16" i="1"/>
  <c r="G28" i="1"/>
  <c r="H26" i="1"/>
  <c r="B1" i="6"/>
  <c r="A1" i="6"/>
  <c r="F42" i="1"/>
  <c r="G42" i="1"/>
  <c r="I42" i="1"/>
  <c r="I33" i="1"/>
  <c r="G33" i="1"/>
  <c r="K111" i="1"/>
  <c r="K116" i="1"/>
  <c r="K42" i="1"/>
  <c r="F23" i="1"/>
  <c r="F33" i="1"/>
  <c r="H27" i="1"/>
  <c r="J27" i="1" s="1"/>
  <c r="L27" i="1"/>
  <c r="F10" i="1"/>
  <c r="H33" i="1" l="1"/>
  <c r="K48" i="1"/>
  <c r="K115" i="1" s="1"/>
  <c r="L26" i="1"/>
  <c r="H72" i="1"/>
  <c r="J77" i="1"/>
  <c r="H56" i="1"/>
  <c r="H19" i="1"/>
  <c r="H36" i="1"/>
  <c r="H37" i="1"/>
  <c r="H38" i="1"/>
  <c r="H29" i="1"/>
  <c r="H30" i="1"/>
  <c r="H41" i="1"/>
  <c r="H42" i="1" s="1"/>
  <c r="H15" i="1"/>
  <c r="H18" i="1"/>
  <c r="H20" i="1"/>
  <c r="H21" i="1"/>
  <c r="H22" i="1"/>
  <c r="H8" i="1"/>
  <c r="H9" i="1"/>
  <c r="H7" i="1"/>
  <c r="H6" i="1"/>
  <c r="G51" i="1" l="1"/>
  <c r="T9" i="1" l="1"/>
  <c r="U12" i="1" s="1"/>
  <c r="I65" i="1"/>
  <c r="L57" i="1"/>
  <c r="L58" i="1"/>
  <c r="L59" i="1"/>
  <c r="L60" i="1"/>
  <c r="L61" i="1"/>
  <c r="L62" i="1"/>
  <c r="L63" i="1"/>
  <c r="L64" i="1"/>
  <c r="K16" i="1"/>
  <c r="U4" i="1" l="1"/>
  <c r="S4" i="1"/>
  <c r="S9" i="1" s="1"/>
  <c r="K106" i="1"/>
  <c r="L82" i="1"/>
  <c r="L17" i="1"/>
  <c r="L18" i="1"/>
  <c r="L20" i="1"/>
  <c r="L21" i="1"/>
  <c r="L22" i="1"/>
  <c r="L19" i="1"/>
  <c r="J84" i="1"/>
  <c r="J85" i="1"/>
  <c r="J86" i="1"/>
  <c r="J87" i="1"/>
  <c r="J88" i="1"/>
  <c r="J89" i="1"/>
  <c r="J18" i="1"/>
  <c r="J82" i="1"/>
  <c r="J80" i="1"/>
  <c r="J76" i="1"/>
  <c r="H65" i="1"/>
  <c r="J19" i="1"/>
  <c r="J6" i="1"/>
  <c r="S7" i="1" l="1"/>
  <c r="H23" i="1"/>
  <c r="H48" i="1" s="1"/>
  <c r="H10" i="1"/>
  <c r="J4" i="1"/>
  <c r="F65" i="1" l="1"/>
  <c r="F71" i="1"/>
  <c r="F106" i="1" s="1"/>
  <c r="F108" i="1" l="1"/>
  <c r="I106" i="1"/>
  <c r="I108" i="1" s="1"/>
  <c r="J98" i="1" l="1"/>
  <c r="N9" i="1"/>
  <c r="B29" i="4" l="1"/>
  <c r="A28" i="4"/>
  <c r="C28" i="4" s="1"/>
  <c r="A27" i="4"/>
  <c r="C27" i="4" s="1"/>
  <c r="A26" i="4"/>
  <c r="C26" i="4" s="1"/>
  <c r="A25" i="4"/>
  <c r="C25" i="4" s="1"/>
  <c r="A24" i="4"/>
  <c r="C24" i="4" s="1"/>
  <c r="J21" i="4"/>
  <c r="J20" i="4"/>
  <c r="J19" i="4"/>
  <c r="J18" i="4"/>
  <c r="J17" i="4"/>
  <c r="D10" i="4"/>
  <c r="A21" i="4" s="1"/>
  <c r="C21" i="4" s="1"/>
  <c r="D3" i="4"/>
  <c r="C29" i="4" l="1"/>
  <c r="A18" i="4"/>
  <c r="C18" i="4" s="1"/>
  <c r="D12" i="4"/>
  <c r="F12" i="4" s="1"/>
  <c r="A20" i="4"/>
  <c r="C20" i="4" s="1"/>
  <c r="A17" i="4"/>
  <c r="C17" i="4" s="1"/>
  <c r="A19" i="4"/>
  <c r="C19" i="4" s="1"/>
  <c r="R4" i="1"/>
  <c r="R9" i="1" s="1"/>
  <c r="R6" i="1"/>
  <c r="D19" i="4" l="1"/>
  <c r="E19" i="4" s="1"/>
  <c r="D17" i="4"/>
  <c r="E17" i="4" s="1"/>
  <c r="D20" i="4"/>
  <c r="E20" i="4" s="1"/>
  <c r="D18" i="4"/>
  <c r="E18" i="4" s="1"/>
  <c r="D21" i="4"/>
  <c r="E21" i="4" s="1"/>
  <c r="R7" i="1"/>
  <c r="J100" i="1" l="1"/>
  <c r="J101" i="1"/>
  <c r="J102" i="1"/>
  <c r="J103" i="1"/>
  <c r="K248" i="1" l="1"/>
  <c r="L248" i="1" s="1"/>
  <c r="I248" i="1"/>
  <c r="E127" i="1"/>
  <c r="D127" i="1"/>
  <c r="G106" i="1"/>
  <c r="E106" i="1"/>
  <c r="L105" i="1"/>
  <c r="J105" i="1"/>
  <c r="D105" i="1"/>
  <c r="D106" i="1" s="1"/>
  <c r="L104" i="1"/>
  <c r="J104" i="1"/>
  <c r="L103" i="1"/>
  <c r="L102" i="1"/>
  <c r="L101" i="1"/>
  <c r="L100" i="1"/>
  <c r="L99" i="1"/>
  <c r="J99" i="1"/>
  <c r="L98" i="1"/>
  <c r="L97" i="1"/>
  <c r="J97" i="1"/>
  <c r="L96" i="1"/>
  <c r="J96" i="1"/>
  <c r="L95" i="1"/>
  <c r="J95" i="1"/>
  <c r="C95" i="1"/>
  <c r="L94" i="1"/>
  <c r="J94" i="1"/>
  <c r="L93" i="1"/>
  <c r="J93" i="1"/>
  <c r="L92" i="1"/>
  <c r="J92" i="1"/>
  <c r="L91" i="1"/>
  <c r="J91" i="1"/>
  <c r="C91" i="1"/>
  <c r="L90" i="1"/>
  <c r="J90" i="1"/>
  <c r="L89" i="1"/>
  <c r="L88" i="1"/>
  <c r="L87" i="1"/>
  <c r="L86" i="1"/>
  <c r="L85" i="1"/>
  <c r="L84" i="1"/>
  <c r="L83" i="1"/>
  <c r="J83" i="1"/>
  <c r="L81" i="1"/>
  <c r="J81" i="1"/>
  <c r="L80" i="1"/>
  <c r="L79" i="1"/>
  <c r="J79" i="1"/>
  <c r="L78" i="1"/>
  <c r="J78" i="1"/>
  <c r="L76" i="1"/>
  <c r="H106" i="1"/>
  <c r="L75" i="1"/>
  <c r="J75" i="1"/>
  <c r="L74" i="1"/>
  <c r="J74" i="1"/>
  <c r="J73" i="1"/>
  <c r="L72" i="1"/>
  <c r="J72" i="1"/>
  <c r="L71" i="1"/>
  <c r="J71" i="1"/>
  <c r="L70" i="1"/>
  <c r="L69" i="1"/>
  <c r="J69" i="1"/>
  <c r="L68" i="1"/>
  <c r="J68" i="1"/>
  <c r="L67" i="1"/>
  <c r="J67" i="1"/>
  <c r="E65" i="1"/>
  <c r="C65" i="1"/>
  <c r="J64" i="1"/>
  <c r="D64" i="1"/>
  <c r="D65" i="1" s="1"/>
  <c r="J63" i="1"/>
  <c r="J58" i="1"/>
  <c r="J57" i="1"/>
  <c r="P56" i="1"/>
  <c r="L53" i="1"/>
  <c r="J53" i="1"/>
  <c r="L46" i="1"/>
  <c r="K46" i="1"/>
  <c r="J46" i="1"/>
  <c r="I46" i="1"/>
  <c r="G46" i="1"/>
  <c r="E46" i="1"/>
  <c r="D46" i="1"/>
  <c r="C46" i="1"/>
  <c r="B46" i="1"/>
  <c r="E42" i="1"/>
  <c r="D42" i="1"/>
  <c r="C42" i="1"/>
  <c r="B42" i="1"/>
  <c r="K40" i="1"/>
  <c r="I40" i="1"/>
  <c r="L38" i="1"/>
  <c r="J38" i="1"/>
  <c r="J37" i="1"/>
  <c r="L36" i="1"/>
  <c r="J36" i="1"/>
  <c r="L39" i="1"/>
  <c r="J39" i="1"/>
  <c r="L41" i="1"/>
  <c r="J41" i="1"/>
  <c r="L30" i="1"/>
  <c r="J30" i="1"/>
  <c r="L29" i="1"/>
  <c r="J29" i="1"/>
  <c r="L28" i="1"/>
  <c r="J28" i="1"/>
  <c r="L32" i="1"/>
  <c r="I23" i="1"/>
  <c r="G23" i="1"/>
  <c r="E23" i="1"/>
  <c r="D23" i="1"/>
  <c r="J22" i="1"/>
  <c r="J21" i="1"/>
  <c r="C21" i="1"/>
  <c r="C23" i="1" s="1"/>
  <c r="B21" i="1"/>
  <c r="B23" i="1" s="1"/>
  <c r="J20" i="1"/>
  <c r="J17" i="1"/>
  <c r="L15" i="1"/>
  <c r="J15" i="1"/>
  <c r="L14" i="1"/>
  <c r="J14" i="1"/>
  <c r="L13" i="1"/>
  <c r="J13" i="1"/>
  <c r="I10" i="1"/>
  <c r="G10" i="1"/>
  <c r="E10" i="1"/>
  <c r="D10" i="1"/>
  <c r="C10" i="1"/>
  <c r="B10" i="1"/>
  <c r="L9" i="1"/>
  <c r="J9" i="1"/>
  <c r="L8" i="1"/>
  <c r="J8" i="1"/>
  <c r="L7" i="1"/>
  <c r="J7" i="1"/>
  <c r="Q6" i="1"/>
  <c r="L6" i="1"/>
  <c r="L5" i="1"/>
  <c r="J5" i="1"/>
  <c r="Q4" i="1"/>
  <c r="P4" i="1"/>
  <c r="P7" i="1" s="1"/>
  <c r="O4" i="1"/>
  <c r="O7" i="1" s="1"/>
  <c r="L3" i="1"/>
  <c r="L106" i="1" l="1"/>
  <c r="H116" i="1"/>
  <c r="H108" i="1"/>
  <c r="H111" i="1" s="1"/>
  <c r="Q7" i="1"/>
  <c r="J40" i="1"/>
  <c r="J42" i="1" s="1"/>
  <c r="N5" i="1"/>
  <c r="L37" i="1"/>
  <c r="J32" i="1"/>
  <c r="J16" i="1"/>
  <c r="J23" i="1" s="1"/>
  <c r="L40" i="1"/>
  <c r="D108" i="1"/>
  <c r="E108" i="1"/>
  <c r="C106" i="1"/>
  <c r="C108" i="1" s="1"/>
  <c r="J10" i="1"/>
  <c r="L31" i="1"/>
  <c r="L33" i="1" s="1"/>
  <c r="O9" i="1"/>
  <c r="J26" i="1"/>
  <c r="P9" i="1"/>
  <c r="J31" i="1"/>
  <c r="I116" i="1"/>
  <c r="L16" i="1"/>
  <c r="L23" i="1" s="1"/>
  <c r="Q9" i="1"/>
  <c r="J70" i="1"/>
  <c r="J106" i="1" s="1"/>
  <c r="L73" i="1"/>
  <c r="L42" i="1" l="1"/>
  <c r="I111" i="1" l="1"/>
  <c r="G65" i="1"/>
  <c r="G108" i="1" s="1"/>
  <c r="G111" i="1" s="1"/>
  <c r="J56" i="1"/>
  <c r="J65" i="1" s="1"/>
  <c r="J108" i="1" s="1"/>
  <c r="I127" i="1" l="1"/>
  <c r="J111" i="1"/>
  <c r="F48" i="1" l="1"/>
  <c r="F50" i="1" s="1"/>
  <c r="K117" i="1"/>
  <c r="K119" i="1" s="1"/>
  <c r="K120" i="1" s="1"/>
  <c r="K121" i="1" s="1"/>
  <c r="K4" i="1" l="1"/>
  <c r="L4" i="1" s="1"/>
  <c r="L10" i="1" s="1"/>
  <c r="K10" i="1" l="1"/>
  <c r="K50" i="1" s="1"/>
  <c r="T6" i="1"/>
  <c r="T7" i="1" l="1"/>
  <c r="K56" i="1" s="1"/>
  <c r="K65" i="1" s="1"/>
  <c r="L124" i="1" s="1"/>
  <c r="L125" i="1" s="1"/>
  <c r="L56" i="1" l="1"/>
  <c r="L65" i="1" s="1"/>
  <c r="N6" i="1"/>
  <c r="K108" i="1"/>
  <c r="K112" i="1" s="1"/>
  <c r="K127" i="1" s="1"/>
  <c r="N49" i="1"/>
  <c r="G48" i="1"/>
  <c r="G50" i="1" s="1"/>
  <c r="G54" i="1" s="1"/>
  <c r="H50" i="1"/>
  <c r="H54" i="1" s="1"/>
  <c r="H115" i="1" l="1"/>
  <c r="H117" i="1" s="1"/>
  <c r="H119" i="1" s="1"/>
  <c r="H120" i="1" s="1"/>
  <c r="H121" i="1" s="1"/>
  <c r="I48" i="1"/>
  <c r="I50" i="1" s="1"/>
  <c r="I115" i="1" l="1"/>
  <c r="I117" i="1" s="1"/>
  <c r="I119" i="1" s="1"/>
  <c r="I120" i="1" s="1"/>
  <c r="I121" i="1" s="1"/>
  <c r="L48" i="1"/>
  <c r="L50" i="1" s="1"/>
  <c r="D50" i="1"/>
  <c r="D48" i="1"/>
  <c r="D33" i="1"/>
  <c r="J33" i="1"/>
  <c r="J48" i="1"/>
  <c r="J50" i="1"/>
  <c r="B50" i="1"/>
  <c r="B48" i="1"/>
  <c r="B33" i="1"/>
  <c r="E33" i="1"/>
  <c r="E48" i="1"/>
  <c r="E50" i="1"/>
  <c r="C33" i="1"/>
  <c r="C48" i="1"/>
  <c r="C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kjwalters</author>
  </authors>
  <commentList>
    <comment ref="H53" authorId="0" shapeId="0" xr:uid="{3408EFF0-F5C9-6044-ADD2-820BEEB77D2F}">
      <text>
        <r>
          <rPr>
            <b/>
            <sz val="8"/>
            <color rgb="FF000000"/>
            <rFont val="Tahoma"/>
            <family val="2"/>
          </rPr>
          <t xml:space="preserve">kogsbury:
</t>
        </r>
        <r>
          <rPr>
            <sz val="8"/>
            <color rgb="FF000000"/>
            <rFont val="Tahoma"/>
            <family val="2"/>
          </rPr>
          <t xml:space="preserve">35k used from 
</t>
        </r>
        <r>
          <rPr>
            <sz val="8"/>
            <color rgb="FF000000"/>
            <rFont val="Tahoma"/>
            <family val="2"/>
          </rPr>
          <t>contingency fund.</t>
        </r>
      </text>
    </comment>
  </commentList>
</comments>
</file>

<file path=xl/sharedStrings.xml><?xml version="1.0" encoding="utf-8"?>
<sst xmlns="http://schemas.openxmlformats.org/spreadsheetml/2006/main" count="236" uniqueCount="219">
  <si>
    <t>Projected</t>
  </si>
  <si>
    <t>Actual</t>
  </si>
  <si>
    <t>Budget</t>
  </si>
  <si>
    <t>Good/(Bad)</t>
  </si>
  <si>
    <t>Comments</t>
  </si>
  <si>
    <t xml:space="preserve">      OPERATING REVENUES</t>
  </si>
  <si>
    <t>2015</t>
  </si>
  <si>
    <t>2016</t>
  </si>
  <si>
    <t xml:space="preserve">       Common Area Assessments</t>
  </si>
  <si>
    <t>Ttl Dues/Rev</t>
  </si>
  <si>
    <t xml:space="preserve">       Late Charges  &amp; Lien Fees</t>
  </si>
  <si>
    <t xml:space="preserve">Op </t>
  </si>
  <si>
    <t xml:space="preserve">       Interest Income</t>
  </si>
  <si>
    <t>Repl</t>
  </si>
  <si>
    <t xml:space="preserve">       Miscellaneous Income</t>
  </si>
  <si>
    <t xml:space="preserve">       Vending Machine Income</t>
  </si>
  <si>
    <t xml:space="preserve">       TOTAL REVENUES</t>
  </si>
  <si>
    <t xml:space="preserve">       ADMINISTRATIVE EXPENSES</t>
  </si>
  <si>
    <t xml:space="preserve">       Uncollectible Assessments</t>
  </si>
  <si>
    <t xml:space="preserve">       Accounting Services</t>
  </si>
  <si>
    <t xml:space="preserve">       Board &amp; Meeting Expenses</t>
  </si>
  <si>
    <t xml:space="preserve">       Insurance</t>
  </si>
  <si>
    <t xml:space="preserve">       Legal Services</t>
  </si>
  <si>
    <t xml:space="preserve">       Legal Services - Gov'g Docs</t>
  </si>
  <si>
    <t xml:space="preserve">       Management Fee</t>
  </si>
  <si>
    <t xml:space="preserve">       Office Supplies &amp; Postage</t>
  </si>
  <si>
    <t xml:space="preserve">       Taxes</t>
  </si>
  <si>
    <t xml:space="preserve">       Telephone</t>
  </si>
  <si>
    <t xml:space="preserve">       TOTAL ADMINISTRATIVE EXPENSES</t>
  </si>
  <si>
    <t xml:space="preserve">       MAINTENANCE &amp; SUPPLIES</t>
  </si>
  <si>
    <t xml:space="preserve">       Asphalt Maintenance</t>
  </si>
  <si>
    <t xml:space="preserve">       Truck Expense</t>
  </si>
  <si>
    <t xml:space="preserve">       Buildings</t>
  </si>
  <si>
    <t xml:space="preserve">       Landscaping</t>
  </si>
  <si>
    <t xml:space="preserve">       Pool, Jacuzzi &amp; Sauna</t>
  </si>
  <si>
    <t xml:space="preserve">       Tools &amp; Equipment</t>
  </si>
  <si>
    <t xml:space="preserve">       TOTAL MAINTENANCE &amp; SUPPLIES</t>
  </si>
  <si>
    <t xml:space="preserve">       UTILITIES</t>
  </si>
  <si>
    <t xml:space="preserve">       Snow Removal</t>
  </si>
  <si>
    <t xml:space="preserve">       Electricity</t>
  </si>
  <si>
    <t xml:space="preserve">       Propane</t>
  </si>
  <si>
    <t xml:space="preserve">       Cable TV</t>
  </si>
  <si>
    <t>Should be $0.  Bulk bill rebilled to units</t>
  </si>
  <si>
    <t xml:space="preserve">       Trash Removal</t>
  </si>
  <si>
    <t xml:space="preserve">       Water &amp; Sewer</t>
  </si>
  <si>
    <t xml:space="preserve">       TOTAL UTILITIES</t>
  </si>
  <si>
    <t xml:space="preserve">       MAJOR PROJECTS</t>
  </si>
  <si>
    <t xml:space="preserve">       TOTAL MAJOR PROJECTS</t>
  </si>
  <si>
    <t xml:space="preserve">       TOTAL OPERATING EXPENSES</t>
  </si>
  <si>
    <t xml:space="preserve">      OPERATING REVENUE LESS EXPENSE (DEFICIT)</t>
  </si>
  <si>
    <t>CONTINGENCY EXPENSES</t>
  </si>
  <si>
    <t>Contingency exp is unexpected; not budgeted</t>
  </si>
  <si>
    <t xml:space="preserve">       Common Area Assessments Allocated</t>
  </si>
  <si>
    <t xml:space="preserve">       Common Area Assessments Increase</t>
  </si>
  <si>
    <t xml:space="preserve">       Common Area Special Assessment</t>
  </si>
  <si>
    <t xml:space="preserve">Transfer from 2016 Operating Fund </t>
  </si>
  <si>
    <t xml:space="preserve">Transfer from 2015 Operating Fund </t>
  </si>
  <si>
    <t>Painting Annual Touch Up</t>
  </si>
  <si>
    <t>Roof Preventive Maintenance</t>
  </si>
  <si>
    <t>Sewer Line Clean out</t>
  </si>
  <si>
    <t>Water Heaters</t>
  </si>
  <si>
    <t>Copper Plumbing - "G, H, I, J, K, Office"</t>
  </si>
  <si>
    <t>Miscellaneous Unscheduled Exp</t>
  </si>
  <si>
    <t xml:space="preserve">       REPL REV LESS EXPENSE EXCESS/(DEFICIT)</t>
  </si>
  <si>
    <t>6 Mos</t>
  </si>
  <si>
    <t>$ (000's)</t>
  </si>
  <si>
    <t>Propane</t>
  </si>
  <si>
    <t xml:space="preserve"> </t>
  </si>
  <si>
    <t>Pool/Jacuzzi</t>
  </si>
  <si>
    <t>Electricity</t>
  </si>
  <si>
    <t>Water/Sewer</t>
  </si>
  <si>
    <t>Snow Removal</t>
  </si>
  <si>
    <t>Snow Removal Spcl Emrgncy Assessment</t>
  </si>
  <si>
    <t>Sauna Heater (2016) Add'l Install Labor 2017</t>
  </si>
  <si>
    <t>See Reserve Study 2025 - extended remaining useful life and used PEX repl cost after 2015 plumbing stress testing</t>
  </si>
  <si>
    <t>New saunas purchased in 2016 - Add'l Installation Labor cost incurred in Q1 2017</t>
  </si>
  <si>
    <t>Budget Variance</t>
  </si>
  <si>
    <t>N/A 2018; 2016 Op Savings est @ 7/31/16 ($20K total less $5K to replenish Contingency Fund)</t>
  </si>
  <si>
    <t>N/A due to 2015-2016 driveway Reserve</t>
  </si>
  <si>
    <t xml:space="preserve">       Reserve REVENUES</t>
  </si>
  <si>
    <t>Reserve Reserve Study</t>
  </si>
  <si>
    <t>$3K for bottom in 2016.  $6K for top &amp; bottom in Sep 2017 and 2018; then top &amp; bottom every other year (next 2020)</t>
  </si>
  <si>
    <t>Minimum Payment and Filing Fees - drop to $50 in 2017 due to HOA filing status</t>
  </si>
  <si>
    <r>
      <t xml:space="preserve">See Reserve Study 2018 </t>
    </r>
    <r>
      <rPr>
        <i/>
        <sz val="9"/>
        <color theme="0" tint="-0.499984740745262"/>
        <rFont val="Arial"/>
        <family val="2"/>
      </rPr>
      <t>(2015 actual is $26K pool wood deck replaced)</t>
    </r>
    <r>
      <rPr>
        <sz val="9"/>
        <rFont val="Arial"/>
        <family val="2"/>
      </rPr>
      <t xml:space="preserve"> </t>
    </r>
  </si>
  <si>
    <t>Pool: Resurface, Tile, Coping</t>
  </si>
  <si>
    <r>
      <t xml:space="preserve">See Reserve Study 2018 </t>
    </r>
    <r>
      <rPr>
        <i/>
        <sz val="9"/>
        <color theme="0" tint="-0.499984740745262"/>
        <rFont val="Arial"/>
        <family val="2"/>
      </rPr>
      <t xml:space="preserve">(2015 actual is $8K lower spa room refurbish) </t>
    </r>
  </si>
  <si>
    <t>Spa: Resurface Upper</t>
  </si>
  <si>
    <t>N/A 2018; Add'l 2015 $25K YE Op Savings transferred in 2016 from Op Fund Cash Balance</t>
  </si>
  <si>
    <t>MAJOR PROJECTS/Reserves</t>
  </si>
  <si>
    <t>*need to budget more each year for maintenance</t>
  </si>
  <si>
    <t xml:space="preserve">       Snow Damage Insurance Claim</t>
  </si>
  <si>
    <t xml:space="preserve">       Transfer from 2017 Operating Fund</t>
  </si>
  <si>
    <t>Full Replacement Reserve Study legally required in 2021 (every 3 years)</t>
  </si>
  <si>
    <t xml:space="preserve">       Transfer from 2018 Operating Fund</t>
  </si>
  <si>
    <t>Siding Progressive Replacement</t>
  </si>
  <si>
    <t>2005 3/4 Tone Chevy Pick Up Truck</t>
  </si>
  <si>
    <t>Asphalt Seal Coat/ Parking Lot Replacement</t>
  </si>
  <si>
    <t>Concrete Pool Spa Decks</t>
  </si>
  <si>
    <t>Reserve Study Suggested Reserve Funding</t>
  </si>
  <si>
    <t>Good/Bad to Actual</t>
  </si>
  <si>
    <t>Painting w/ Doors - Office &amp; Pool</t>
  </si>
  <si>
    <t>Painting w/ Doors - B,I,K (2018)</t>
  </si>
  <si>
    <t>Painting w/ Doors A,G, H (2019)</t>
  </si>
  <si>
    <t>Painting w/Doors E, D (2020)</t>
  </si>
  <si>
    <t>Reserve Study Budgeted $33,990 for 2020 (last painted in 2016)</t>
  </si>
  <si>
    <t>Pool &amp; Spa Pump</t>
  </si>
  <si>
    <t>Pool Wood Fence Enclosure</t>
  </si>
  <si>
    <t>Spa: Resurface Lower</t>
  </si>
  <si>
    <t>Pool Furniture</t>
  </si>
  <si>
    <t>See Reserve Study 2019. Progressive replacement of the siding.  Look into stone facia for manager building</t>
  </si>
  <si>
    <t>See Reserve Study 2021 ($15,914 budgeted for fiberglass)</t>
  </si>
  <si>
    <t>See Reserve Study 2019 (for upper pool area)</t>
  </si>
  <si>
    <t>Spa Heater (every 4 years x2)</t>
  </si>
  <si>
    <t>Pool and Spa Skimmers</t>
  </si>
  <si>
    <t>See Reserves Study 2021 $8,487</t>
  </si>
  <si>
    <t>Residence Front Doors #A-F</t>
  </si>
  <si>
    <t>Residence Front Doors #G-K</t>
  </si>
  <si>
    <t>See Reserve Study 2021 Budgeted $47,741</t>
  </si>
  <si>
    <t>See Reserves Study 2020 (last one replced was in lower spa area in 2017)</t>
  </si>
  <si>
    <t xml:space="preserve">$3.5K appliances in 2017. Spent $484 2017 and $1222 2018.  </t>
  </si>
  <si>
    <t>Manager's Unit Carpet</t>
  </si>
  <si>
    <t>Manager's Unit Appliances</t>
  </si>
  <si>
    <t>Manager's Unit Interior Paint</t>
  </si>
  <si>
    <t>Manager's Unit Renovate</t>
  </si>
  <si>
    <t>Asst. Manager's Unit Carpet</t>
  </si>
  <si>
    <t>Asst. Manager's Unit Appliances</t>
  </si>
  <si>
    <t>Asst. Manager's Unit Interior Paint</t>
  </si>
  <si>
    <t>Asst. Manager's Unit Renovate</t>
  </si>
  <si>
    <t>See Reserves Study 2019</t>
  </si>
  <si>
    <t>See Reservest Study Budgeted for annually</t>
  </si>
  <si>
    <t>See Reserve Study 2020 $8,240 for mainline cleanout-need to double check when this was done last</t>
  </si>
  <si>
    <t>Snowblowers (1 every 3 years)</t>
  </si>
  <si>
    <t>Spa Filter (1 every 5 years)</t>
  </si>
  <si>
    <t>See Reserve study 2021 ($1,967). 1 every 5 years</t>
  </si>
  <si>
    <t>Used truck.  Takes into account reselling old truck.</t>
  </si>
  <si>
    <t>Reserve Study Suggested End of Year Balance</t>
  </si>
  <si>
    <t>Reserve Study Suggested Begging of Year Balance</t>
  </si>
  <si>
    <t>Painting w/ Doors - C,F,J (2015)</t>
  </si>
  <si>
    <t>\</t>
  </si>
  <si>
    <t xml:space="preserve">2018 spent $1,650 for filter replacement only. </t>
  </si>
  <si>
    <t>2017</t>
  </si>
  <si>
    <t>2018</t>
  </si>
  <si>
    <t>2019</t>
  </si>
  <si>
    <t>2020</t>
  </si>
  <si>
    <t>estimated</t>
  </si>
  <si>
    <t>HV  2019</t>
  </si>
  <si>
    <t>Total Monthly CAF:</t>
  </si>
  <si>
    <t>Annual</t>
  </si>
  <si>
    <t>Variable Expenses:</t>
  </si>
  <si>
    <t>Deduct Insurance</t>
  </si>
  <si>
    <t>Roof Reserve per Stone Mtn</t>
  </si>
  <si>
    <t>add 3% per yr after this year</t>
  </si>
  <si>
    <t xml:space="preserve">Paint Reserve per Stone Mtn </t>
  </si>
  <si>
    <t>Siding Reserve per Stone Mtn</t>
  </si>
  <si>
    <t>mo variable</t>
  </si>
  <si>
    <t>mo base</t>
  </si>
  <si>
    <t>Mo Base</t>
  </si>
  <si>
    <t>% to Use</t>
  </si>
  <si>
    <t>No of</t>
  </si>
  <si>
    <t>Per Unit</t>
  </si>
  <si>
    <t>New CCRS</t>
  </si>
  <si>
    <t xml:space="preserve"> Units</t>
  </si>
  <si>
    <t>Variable</t>
  </si>
  <si>
    <t>Base</t>
  </si>
  <si>
    <t>Total</t>
  </si>
  <si>
    <t>Round To:</t>
  </si>
  <si>
    <t>Cur Fees</t>
  </si>
  <si>
    <t>Mo Incr</t>
  </si>
  <si>
    <t>Proof</t>
  </si>
  <si>
    <t>off slightly due to rounding</t>
  </si>
  <si>
    <t>2019 YE</t>
  </si>
  <si>
    <t>2019-20</t>
  </si>
  <si>
    <t>2018 Reserve Ending Balance</t>
  </si>
  <si>
    <t>to 12/31/19</t>
  </si>
  <si>
    <t xml:space="preserve">       Transfer from 2019 Operating Fund</t>
  </si>
  <si>
    <t>0% est increase based on 2019 actuals</t>
  </si>
  <si>
    <t>2020 Projected Reserve Ending Balance</t>
  </si>
  <si>
    <t>Reserve Study Expected Balance 2019</t>
  </si>
  <si>
    <t>2021</t>
  </si>
  <si>
    <t>Increase $6k in 2020 based on 2019 actuals.  Includes $3k for annual heater maintenance, $1.5k for all fireplace cleanouts (was every other year).</t>
  </si>
  <si>
    <t>Increase $1000 in 2020 due to age of vehical and 2019 actuals (off because of accident manger had with truck)</t>
  </si>
  <si>
    <t>Trash and Recycle rates to increase increased 2.81% in July 2019 and will increase again in July 2020 3%.</t>
  </si>
  <si>
    <t>0% est increase in 2019. Will increase 4%, based on Current Pkg Pol (plus % increase), Auto, Fidelity, Umbrella</t>
  </si>
  <si>
    <t>Based on 2019 Actuals.</t>
  </si>
  <si>
    <t>Replacing locks and removing dead trees in 2019.</t>
  </si>
  <si>
    <t>See Reserve Study 2021($15,914).  Most work done in 2019.</t>
  </si>
  <si>
    <t>Done in 2018.</t>
  </si>
  <si>
    <t>Used Four Points and Cost was:$49,500.</t>
  </si>
  <si>
    <t>Used Four Points and total cost was $47,500.</t>
  </si>
  <si>
    <t>Pool Filter</t>
  </si>
  <si>
    <t>Pool Heater</t>
  </si>
  <si>
    <t xml:space="preserve">       Need to replanish Contingency Fund</t>
  </si>
  <si>
    <t>Y over Y Increase</t>
  </si>
  <si>
    <t>Increased Building Budget  6k due to 2019 actuals.</t>
  </si>
  <si>
    <t>Need to look at insurance spending per month</t>
  </si>
  <si>
    <t>Need to look at phone bills</t>
  </si>
  <si>
    <t>Look at pool expenses</t>
  </si>
  <si>
    <t>Need to look at where tree removal was expensed</t>
  </si>
  <si>
    <t>Look a Trash Expenses</t>
  </si>
  <si>
    <t>Based on 2019 Actuals and condition of current tools.</t>
  </si>
  <si>
    <t>2020 budget SHOULD increase for 25% snow shovelling wages increase - 7 mos/yr (Jan-Apr + Oct-Dec).Did not increase per board request.  Recommned budgeting 50k in 2021.</t>
  </si>
  <si>
    <t>0% est increase based on 2019 actuals.</t>
  </si>
  <si>
    <t>Management Fee - Increased $44,345 based on new management fees. No increase budgeted for 2020.</t>
  </si>
  <si>
    <t>8 Mos</t>
  </si>
  <si>
    <t>2019 Reserve Ending Balance 8/31/19</t>
  </si>
  <si>
    <t>See Reserves Study 2021 ($5092 budgeted for upper. Lower replaced in 2018)</t>
  </si>
  <si>
    <t>Increased 10k based on 2019 actuals.</t>
  </si>
  <si>
    <t>If we have money left over in the operating fund, we will need to keep in operating fund to have 3 months of operating expenses.</t>
  </si>
  <si>
    <t>Portion of HOA dues increase to Repl Fund; No increase budgeted in 2020</t>
  </si>
  <si>
    <t>See Reseve Study 2020 $13,936</t>
  </si>
  <si>
    <t>See Reseve Study 2021 $44,027</t>
  </si>
  <si>
    <t>See Reserves Study 2018 and 2021 ($2,122 for 2021), but will need to replace sooner per management</t>
  </si>
  <si>
    <t>See Reserve Study 2019 (current bid is for $63,000)</t>
  </si>
  <si>
    <t>2019 12,400x12 = $148,800| 2020 EST2% increase in June</t>
  </si>
  <si>
    <t xml:space="preserve">$171,748 to Repl. Fund; </t>
  </si>
  <si>
    <t>2020 $45 DUES INCREASE</t>
  </si>
  <si>
    <t>Dues will need to increase $26/month if expenses go up 3% in 2021.</t>
  </si>
  <si>
    <t>$372,572 Goes to Operating Fund</t>
  </si>
  <si>
    <t>$1616 over funding reserve study in 2020, 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</si>
</sst>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&quot;$&quot;#,##0.00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i/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rgb="FF006100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 style="mediumDashDotDot">
        <color auto="1"/>
      </left>
      <right/>
      <top/>
      <bottom style="thin">
        <color auto="1"/>
      </bottom>
      <diagonal/>
    </border>
    <border>
      <left style="mediumDashDotDot">
        <color auto="1"/>
      </left>
      <right/>
      <top style="thin">
        <color auto="1"/>
      </top>
      <bottom/>
      <diagonal/>
    </border>
    <border>
      <left/>
      <right style="mediumDashDotDot">
        <color auto="1"/>
      </right>
      <top/>
      <bottom/>
      <diagonal/>
    </border>
    <border>
      <left/>
      <right style="mediumDashDotDot">
        <color auto="1"/>
      </right>
      <top/>
      <bottom style="thin">
        <color auto="1"/>
      </bottom>
      <diagonal/>
    </border>
    <border>
      <left/>
      <right style="mediumDashDotDot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5" borderId="0" applyNumberFormat="0" applyBorder="0" applyAlignment="0" applyProtection="0"/>
    <xf numFmtId="44" fontId="20" fillId="0" borderId="0" applyFont="0" applyFill="0" applyBorder="0" applyAlignment="0" applyProtection="0"/>
  </cellStyleXfs>
  <cellXfs count="181">
    <xf numFmtId="0" fontId="0" fillId="0" borderId="0" xfId="0"/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Alignment="1"/>
    <xf numFmtId="3" fontId="0" fillId="0" borderId="0" xfId="0" applyNumberFormat="1" applyAlignment="1"/>
    <xf numFmtId="164" fontId="2" fillId="0" borderId="0" xfId="1" quotePrefix="1" applyNumberFormat="1" applyFont="1"/>
    <xf numFmtId="0" fontId="2" fillId="0" borderId="0" xfId="0" quotePrefix="1" applyFont="1"/>
    <xf numFmtId="37" fontId="0" fillId="0" borderId="0" xfId="0" applyNumberFormat="1"/>
    <xf numFmtId="37" fontId="0" fillId="0" borderId="0" xfId="0" applyNumberFormat="1" applyFill="1"/>
    <xf numFmtId="41" fontId="0" fillId="0" borderId="0" xfId="0" applyNumberFormat="1" applyAlignment="1"/>
    <xf numFmtId="3" fontId="2" fillId="0" borderId="0" xfId="0" applyNumberFormat="1" applyFont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0" fontId="0" fillId="0" borderId="0" xfId="0" applyBorder="1"/>
    <xf numFmtId="37" fontId="0" fillId="0" borderId="1" xfId="0" applyNumberFormat="1" applyBorder="1"/>
    <xf numFmtId="37" fontId="0" fillId="0" borderId="1" xfId="0" applyNumberFormat="1" applyFill="1" applyBorder="1"/>
    <xf numFmtId="3" fontId="0" fillId="0" borderId="0" xfId="0" applyNumberFormat="1" applyBorder="1"/>
    <xf numFmtId="164" fontId="0" fillId="0" borderId="0" xfId="1" applyNumberFormat="1" applyFont="1" applyBorder="1"/>
    <xf numFmtId="0" fontId="1" fillId="0" borderId="0" xfId="0" applyFont="1" applyBorder="1"/>
    <xf numFmtId="37" fontId="0" fillId="0" borderId="0" xfId="0" applyNumberFormat="1" applyBorder="1"/>
    <xf numFmtId="37" fontId="0" fillId="0" borderId="0" xfId="0" applyNumberFormat="1" applyFill="1" applyBorder="1"/>
    <xf numFmtId="37" fontId="0" fillId="0" borderId="2" xfId="0" applyNumberFormat="1" applyFill="1" applyBorder="1"/>
    <xf numFmtId="0" fontId="2" fillId="0" borderId="0" xfId="0" applyFont="1" applyFill="1"/>
    <xf numFmtId="37" fontId="2" fillId="0" borderId="0" xfId="0" applyNumberFormat="1" applyFont="1" applyFill="1"/>
    <xf numFmtId="43" fontId="0" fillId="0" borderId="0" xfId="0" applyNumberFormat="1"/>
    <xf numFmtId="41" fontId="0" fillId="0" borderId="1" xfId="0" applyNumberFormat="1" applyBorder="1" applyAlignment="1"/>
    <xf numFmtId="37" fontId="2" fillId="0" borderId="1" xfId="0" applyNumberFormat="1" applyFont="1" applyFill="1" applyBorder="1"/>
    <xf numFmtId="0" fontId="0" fillId="0" borderId="0" xfId="0" applyFill="1"/>
    <xf numFmtId="37" fontId="2" fillId="0" borderId="0" xfId="0" applyNumberFormat="1" applyFont="1"/>
    <xf numFmtId="37" fontId="2" fillId="0" borderId="1" xfId="0" applyNumberFormat="1" applyFont="1" applyBorder="1"/>
    <xf numFmtId="0" fontId="2" fillId="0" borderId="0" xfId="0" applyFont="1" applyFill="1" applyAlignment="1">
      <alignment horizontal="left" indent="2"/>
    </xf>
    <xf numFmtId="3" fontId="0" fillId="0" borderId="2" xfId="0" applyNumberFormat="1" applyFill="1" applyBorder="1"/>
    <xf numFmtId="3" fontId="0" fillId="0" borderId="2" xfId="0" applyNumberFormat="1" applyBorder="1" applyAlignment="1"/>
    <xf numFmtId="0" fontId="1" fillId="0" borderId="0" xfId="0" applyFont="1" applyAlignment="1">
      <alignment horizontal="left" indent="2"/>
    </xf>
    <xf numFmtId="0" fontId="2" fillId="0" borderId="0" xfId="0" applyFont="1" applyFill="1" applyAlignment="1">
      <alignment horizontal="left" wrapText="1" indent="2"/>
    </xf>
    <xf numFmtId="0" fontId="0" fillId="0" borderId="0" xfId="0" applyFill="1" applyAlignment="1">
      <alignment horizontal="left" indent="2"/>
    </xf>
    <xf numFmtId="164" fontId="0" fillId="0" borderId="0" xfId="1" applyNumberFormat="1" applyFont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ill="1" applyAlignment="1"/>
    <xf numFmtId="41" fontId="0" fillId="2" borderId="0" xfId="0" applyNumberFormat="1" applyFill="1" applyAlignment="1"/>
    <xf numFmtId="41" fontId="0" fillId="2" borderId="2" xfId="0" applyNumberFormat="1" applyFill="1" applyBorder="1" applyAlignment="1"/>
    <xf numFmtId="41" fontId="0" fillId="2" borderId="0" xfId="0" applyNumberFormat="1" applyFill="1" applyBorder="1" applyAlignment="1"/>
    <xf numFmtId="37" fontId="0" fillId="2" borderId="2" xfId="0" applyNumberFormat="1" applyFill="1" applyBorder="1"/>
    <xf numFmtId="41" fontId="2" fillId="2" borderId="0" xfId="0" applyNumberFormat="1" applyFont="1" applyFill="1" applyAlignment="1"/>
    <xf numFmtId="37" fontId="2" fillId="2" borderId="2" xfId="0" applyNumberFormat="1" applyFont="1" applyFill="1" applyBorder="1"/>
    <xf numFmtId="41" fontId="0" fillId="2" borderId="1" xfId="0" applyNumberFormat="1" applyFill="1" applyBorder="1" applyAlignment="1"/>
    <xf numFmtId="3" fontId="0" fillId="2" borderId="2" xfId="0" applyNumberFormat="1" applyFill="1" applyBorder="1" applyAlignment="1"/>
    <xf numFmtId="9" fontId="0" fillId="0" borderId="0" xfId="3" applyFont="1" applyAlignment="1"/>
    <xf numFmtId="0" fontId="4" fillId="0" borderId="0" xfId="0" applyFont="1"/>
    <xf numFmtId="0" fontId="4" fillId="0" borderId="0" xfId="0" applyFont="1" applyAlignment="1">
      <alignment wrapText="1"/>
    </xf>
    <xf numFmtId="164" fontId="0" fillId="0" borderId="2" xfId="0" applyNumberFormat="1" applyBorder="1" applyAlignment="1"/>
    <xf numFmtId="164" fontId="5" fillId="0" borderId="0" xfId="1" applyNumberFormat="1" applyFont="1" applyAlignment="1"/>
    <xf numFmtId="37" fontId="0" fillId="3" borderId="0" xfId="0" applyNumberFormat="1" applyFill="1" applyBorder="1"/>
    <xf numFmtId="37" fontId="0" fillId="0" borderId="2" xfId="0" applyNumberFormat="1" applyBorder="1"/>
    <xf numFmtId="164" fontId="0" fillId="2" borderId="0" xfId="1" applyNumberFormat="1" applyFont="1" applyFill="1"/>
    <xf numFmtId="164" fontId="0" fillId="0" borderId="2" xfId="1" applyNumberFormat="1" applyFont="1" applyBorder="1" applyAlignment="1"/>
    <xf numFmtId="0" fontId="1" fillId="0" borderId="0" xfId="0" applyFont="1" applyFill="1" applyAlignment="1">
      <alignment horizontal="left" indent="2"/>
    </xf>
    <xf numFmtId="0" fontId="0" fillId="0" borderId="0" xfId="0" applyAlignment="1">
      <alignment horizontal="left" indent="2"/>
    </xf>
    <xf numFmtId="3" fontId="5" fillId="2" borderId="0" xfId="0" applyNumberFormat="1" applyFont="1" applyFill="1" applyAlignment="1"/>
    <xf numFmtId="3" fontId="2" fillId="2" borderId="0" xfId="0" applyNumberFormat="1" applyFont="1" applyFill="1" applyAlignment="1"/>
    <xf numFmtId="164" fontId="0" fillId="2" borderId="0" xfId="1" applyNumberFormat="1" applyFont="1" applyFill="1" applyAlignment="1"/>
    <xf numFmtId="0" fontId="2" fillId="0" borderId="0" xfId="0" applyFont="1" applyAlignment="1">
      <alignment wrapText="1"/>
    </xf>
    <xf numFmtId="3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3" fontId="0" fillId="0" borderId="3" xfId="0" applyNumberFormat="1" applyBorder="1"/>
    <xf numFmtId="37" fontId="0" fillId="0" borderId="3" xfId="0" applyNumberFormat="1" applyBorder="1"/>
    <xf numFmtId="37" fontId="0" fillId="0" borderId="4" xfId="0" applyNumberFormat="1" applyBorder="1"/>
    <xf numFmtId="37" fontId="0" fillId="0" borderId="3" xfId="0" applyNumberFormat="1" applyFill="1" applyBorder="1"/>
    <xf numFmtId="37" fontId="2" fillId="0" borderId="3" xfId="0" applyNumberFormat="1" applyFont="1" applyBorder="1"/>
    <xf numFmtId="37" fontId="2" fillId="0" borderId="4" xfId="0" applyNumberFormat="1" applyFont="1" applyBorder="1"/>
    <xf numFmtId="3" fontId="0" fillId="0" borderId="5" xfId="0" applyNumberFormat="1" applyBorder="1" applyAlignment="1"/>
    <xf numFmtId="164" fontId="0" fillId="0" borderId="5" xfId="0" applyNumberFormat="1" applyBorder="1" applyAlignment="1"/>
    <xf numFmtId="41" fontId="0" fillId="0" borderId="3" xfId="0" applyNumberFormat="1" applyBorder="1" applyAlignment="1"/>
    <xf numFmtId="0" fontId="1" fillId="0" borderId="6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0" fillId="0" borderId="6" xfId="0" applyBorder="1" applyAlignment="1"/>
    <xf numFmtId="41" fontId="0" fillId="0" borderId="6" xfId="0" applyNumberFormat="1" applyBorder="1" applyAlignment="1"/>
    <xf numFmtId="37" fontId="0" fillId="0" borderId="8" xfId="0" applyNumberFormat="1" applyBorder="1"/>
    <xf numFmtId="41" fontId="0" fillId="0" borderId="6" xfId="0" applyNumberFormat="1" applyFill="1" applyBorder="1" applyAlignment="1"/>
    <xf numFmtId="41" fontId="0" fillId="0" borderId="7" xfId="0" applyNumberFormat="1" applyBorder="1" applyAlignment="1"/>
    <xf numFmtId="37" fontId="0" fillId="0" borderId="6" xfId="0" applyNumberFormat="1" applyBorder="1"/>
    <xf numFmtId="41" fontId="6" fillId="0" borderId="6" xfId="0" applyNumberFormat="1" applyFont="1" applyBorder="1" applyAlignment="1"/>
    <xf numFmtId="37" fontId="2" fillId="0" borderId="6" xfId="0" applyNumberFormat="1" applyFont="1" applyBorder="1"/>
    <xf numFmtId="164" fontId="6" fillId="0" borderId="6" xfId="1" applyNumberFormat="1" applyFont="1" applyBorder="1" applyAlignment="1"/>
    <xf numFmtId="164" fontId="0" fillId="0" borderId="6" xfId="1" applyNumberFormat="1" applyFont="1" applyBorder="1" applyAlignment="1"/>
    <xf numFmtId="164" fontId="0" fillId="0" borderId="8" xfId="1" applyNumberFormat="1" applyFont="1" applyBorder="1" applyAlignment="1"/>
    <xf numFmtId="164" fontId="5" fillId="0" borderId="6" xfId="1" applyNumberFormat="1" applyFont="1" applyBorder="1" applyAlignment="1"/>
    <xf numFmtId="164" fontId="0" fillId="0" borderId="8" xfId="0" applyNumberFormat="1" applyBorder="1" applyAlignment="1"/>
    <xf numFmtId="3" fontId="7" fillId="0" borderId="1" xfId="0" applyNumberFormat="1" applyFont="1" applyFill="1" applyBorder="1" applyAlignment="1">
      <alignment horizontal="center"/>
    </xf>
    <xf numFmtId="0" fontId="9" fillId="0" borderId="0" xfId="0" applyFont="1"/>
    <xf numFmtId="3" fontId="1" fillId="4" borderId="0" xfId="0" applyNumberFormat="1" applyFont="1" applyFill="1"/>
    <xf numFmtId="164" fontId="0" fillId="0" borderId="0" xfId="0" applyNumberFormat="1"/>
    <xf numFmtId="4" fontId="0" fillId="0" borderId="0" xfId="0" applyNumberFormat="1" applyAlignment="1"/>
    <xf numFmtId="41" fontId="0" fillId="0" borderId="0" xfId="0" applyNumberFormat="1" applyBorder="1" applyAlignment="1"/>
    <xf numFmtId="10" fontId="2" fillId="0" borderId="0" xfId="3" applyNumberFormat="1" applyFont="1"/>
    <xf numFmtId="3" fontId="2" fillId="0" borderId="0" xfId="0" applyNumberFormat="1" applyFont="1" applyFill="1"/>
    <xf numFmtId="41" fontId="2" fillId="0" borderId="0" xfId="0" applyNumberFormat="1" applyFont="1"/>
    <xf numFmtId="166" fontId="2" fillId="0" borderId="0" xfId="3" applyNumberFormat="1" applyFont="1"/>
    <xf numFmtId="0" fontId="2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Font="1" applyAlignment="1">
      <alignment horizontal="left"/>
    </xf>
    <xf numFmtId="0" fontId="12" fillId="0" borderId="0" xfId="0" applyFont="1"/>
    <xf numFmtId="0" fontId="13" fillId="0" borderId="0" xfId="0" applyFont="1"/>
    <xf numFmtId="166" fontId="0" fillId="0" borderId="0" xfId="0" applyNumberFormat="1"/>
    <xf numFmtId="0" fontId="2" fillId="0" borderId="1" xfId="0" applyFont="1" applyBorder="1"/>
    <xf numFmtId="0" fontId="0" fillId="0" borderId="1" xfId="0" applyBorder="1"/>
    <xf numFmtId="166" fontId="2" fillId="0" borderId="0" xfId="0" applyNumberFormat="1" applyFont="1"/>
    <xf numFmtId="166" fontId="0" fillId="0" borderId="1" xfId="0" applyNumberFormat="1" applyBorder="1"/>
    <xf numFmtId="166" fontId="0" fillId="0" borderId="0" xfId="0" applyNumberFormat="1" applyFill="1"/>
    <xf numFmtId="0" fontId="1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42" fontId="0" fillId="0" borderId="0" xfId="0" applyNumberFormat="1"/>
    <xf numFmtId="42" fontId="0" fillId="0" borderId="0" xfId="0" applyNumberFormat="1" applyFill="1"/>
    <xf numFmtId="2" fontId="2" fillId="0" borderId="0" xfId="0" applyNumberFormat="1" applyFont="1"/>
    <xf numFmtId="42" fontId="2" fillId="0" borderId="0" xfId="0" applyNumberFormat="1" applyFont="1" applyFill="1"/>
    <xf numFmtId="2" fontId="0" fillId="0" borderId="0" xfId="0" applyNumberFormat="1" applyFill="1"/>
    <xf numFmtId="41" fontId="0" fillId="0" borderId="0" xfId="0" applyNumberFormat="1" applyFill="1"/>
    <xf numFmtId="0" fontId="0" fillId="0" borderId="0" xfId="0" applyFill="1" applyBorder="1"/>
    <xf numFmtId="43" fontId="1" fillId="0" borderId="0" xfId="0" applyNumberFormat="1" applyFont="1" applyFill="1" applyBorder="1"/>
    <xf numFmtId="41" fontId="0" fillId="0" borderId="0" xfId="0" applyNumberFormat="1"/>
    <xf numFmtId="3" fontId="2" fillId="0" borderId="3" xfId="0" applyNumberFormat="1" applyFont="1" applyBorder="1"/>
    <xf numFmtId="3" fontId="14" fillId="5" borderId="0" xfId="8" applyNumberFormat="1" applyAlignment="1"/>
    <xf numFmtId="3" fontId="0" fillId="0" borderId="1" xfId="0" applyNumberFormat="1" applyBorder="1" applyAlignment="1"/>
    <xf numFmtId="43" fontId="0" fillId="0" borderId="0" xfId="0" applyNumberFormat="1" applyBorder="1"/>
    <xf numFmtId="164" fontId="0" fillId="6" borderId="6" xfId="1" applyNumberFormat="1" applyFont="1" applyFill="1" applyBorder="1" applyAlignment="1"/>
    <xf numFmtId="0" fontId="18" fillId="0" borderId="0" xfId="0" applyFont="1"/>
    <xf numFmtId="0" fontId="19" fillId="0" borderId="0" xfId="0" applyFont="1"/>
    <xf numFmtId="3" fontId="0" fillId="0" borderId="1" xfId="0" applyNumberFormat="1" applyFill="1" applyBorder="1"/>
    <xf numFmtId="0" fontId="1" fillId="7" borderId="0" xfId="0" applyNumberFormat="1" applyFont="1" applyFill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0" fillId="7" borderId="0" xfId="0" applyNumberFormat="1" applyFill="1" applyAlignment="1"/>
    <xf numFmtId="41" fontId="0" fillId="7" borderId="0" xfId="0" applyNumberFormat="1" applyFill="1" applyAlignment="1"/>
    <xf numFmtId="41" fontId="0" fillId="7" borderId="2" xfId="0" applyNumberFormat="1" applyFill="1" applyBorder="1" applyAlignment="1"/>
    <xf numFmtId="41" fontId="0" fillId="7" borderId="0" xfId="0" applyNumberFormat="1" applyFill="1" applyBorder="1" applyAlignment="1"/>
    <xf numFmtId="37" fontId="0" fillId="7" borderId="2" xfId="0" applyNumberFormat="1" applyFill="1" applyBorder="1"/>
    <xf numFmtId="41" fontId="2" fillId="7" borderId="0" xfId="0" applyNumberFormat="1" applyFont="1" applyFill="1" applyAlignment="1"/>
    <xf numFmtId="37" fontId="2" fillId="7" borderId="2" xfId="0" applyNumberFormat="1" applyFont="1" applyFill="1" applyBorder="1"/>
    <xf numFmtId="41" fontId="0" fillId="7" borderId="1" xfId="0" applyNumberFormat="1" applyFill="1" applyBorder="1" applyAlignment="1"/>
    <xf numFmtId="164" fontId="0" fillId="7" borderId="0" xfId="1" applyNumberFormat="1" applyFont="1" applyFill="1"/>
    <xf numFmtId="3" fontId="0" fillId="7" borderId="2" xfId="0" applyNumberFormat="1" applyFill="1" applyBorder="1" applyAlignment="1"/>
    <xf numFmtId="3" fontId="0" fillId="7" borderId="0" xfId="0" applyNumberFormat="1" applyFill="1"/>
    <xf numFmtId="3" fontId="2" fillId="7" borderId="0" xfId="0" applyNumberFormat="1" applyFont="1" applyFill="1"/>
    <xf numFmtId="164" fontId="0" fillId="7" borderId="0" xfId="1" applyNumberFormat="1" applyFont="1" applyFill="1" applyAlignment="1"/>
    <xf numFmtId="9" fontId="0" fillId="7" borderId="0" xfId="3" applyFont="1" applyFill="1" applyAlignment="1"/>
    <xf numFmtId="3" fontId="0" fillId="7" borderId="1" xfId="0" applyNumberFormat="1" applyFill="1" applyBorder="1" applyAlignment="1"/>
    <xf numFmtId="41" fontId="0" fillId="0" borderId="0" xfId="3" applyNumberFormat="1" applyFont="1" applyBorder="1"/>
    <xf numFmtId="41" fontId="0" fillId="0" borderId="0" xfId="0" applyNumberFormat="1" applyBorder="1"/>
    <xf numFmtId="164" fontId="0" fillId="0" borderId="0" xfId="0" applyNumberFormat="1" applyBorder="1"/>
    <xf numFmtId="164" fontId="2" fillId="0" borderId="0" xfId="1" applyNumberFormat="1" applyFont="1" applyBorder="1"/>
    <xf numFmtId="43" fontId="2" fillId="0" borderId="0" xfId="0" applyNumberFormat="1" applyFont="1" applyBorder="1"/>
    <xf numFmtId="0" fontId="2" fillId="0" borderId="0" xfId="0" applyFont="1" applyBorder="1"/>
    <xf numFmtId="9" fontId="0" fillId="0" borderId="0" xfId="3" applyFont="1"/>
    <xf numFmtId="0" fontId="0" fillId="0" borderId="0" xfId="0" applyFont="1" applyFill="1" applyBorder="1"/>
    <xf numFmtId="10" fontId="0" fillId="0" borderId="0" xfId="0" applyNumberFormat="1"/>
    <xf numFmtId="37" fontId="0" fillId="3" borderId="1" xfId="0" applyNumberFormat="1" applyFill="1" applyBorder="1"/>
    <xf numFmtId="44" fontId="0" fillId="0" borderId="0" xfId="9" applyFont="1"/>
    <xf numFmtId="10" fontId="0" fillId="0" borderId="0" xfId="3" applyNumberFormat="1" applyFont="1" applyAlignment="1"/>
    <xf numFmtId="41" fontId="21" fillId="2" borderId="0" xfId="0" applyNumberFormat="1" applyFont="1" applyFill="1" applyBorder="1" applyAlignment="1"/>
    <xf numFmtId="41" fontId="21" fillId="2" borderId="0" xfId="0" applyNumberFormat="1" applyFont="1" applyFill="1" applyAlignment="1"/>
  </cellXfs>
  <cellStyles count="10">
    <cellStyle name="Comma" xfId="1" builtinId="3"/>
    <cellStyle name="Currency" xfId="9" builtinId="4"/>
    <cellStyle name="Followed Hyperlink" xfId="5" builtinId="9" hidden="1"/>
    <cellStyle name="Followed Hyperlink" xfId="7" builtinId="9" hidden="1"/>
    <cellStyle name="Good" xfId="8" builtinId="26"/>
    <cellStyle name="Hyperlink" xfId="4" builtinId="8" hidden="1"/>
    <cellStyle name="Hyperlink" xfId="6" builtinId="8" hidden="1"/>
    <cellStyle name="Normal" xfId="0" builtinId="0"/>
    <cellStyle name="Normal 2" xfId="2" xr:uid="{00000000-0005-0000-0000-00000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8"/>
  <sheetViews>
    <sheetView tabSelected="1" zoomScale="140" zoomScaleNormal="115" zoomScalePageLayoutView="115" workbookViewId="0">
      <pane xSplit="1" ySplit="2" topLeftCell="F114" activePane="bottomRight" state="frozenSplit"/>
      <selection pane="topRight" activeCell="L1" sqref="L1"/>
      <selection pane="bottomLeft" activeCell="A3" sqref="A3"/>
      <selection pane="bottomRight" activeCell="N117" sqref="N117"/>
    </sheetView>
  </sheetViews>
  <sheetFormatPr defaultColWidth="8.85546875" defaultRowHeight="12.75" x14ac:dyDescent="0.2"/>
  <cols>
    <col min="1" max="1" width="47.7109375" customWidth="1"/>
    <col min="2" max="2" width="10.42578125" style="14" hidden="1" customWidth="1"/>
    <col min="3" max="3" width="10.42578125" style="13" hidden="1" customWidth="1"/>
    <col min="4" max="5" width="10.42578125" style="14" hidden="1" customWidth="1"/>
    <col min="6" max="6" width="10.42578125" style="14" customWidth="1"/>
    <col min="7" max="7" width="11.42578125" style="13" customWidth="1"/>
    <col min="8" max="8" width="11.42578125" style="14" customWidth="1"/>
    <col min="9" max="9" width="11.85546875" style="152" customWidth="1"/>
    <col min="10" max="10" width="11.140625" style="15" bestFit="1" customWidth="1"/>
    <col min="11" max="11" width="11.140625" style="16" customWidth="1"/>
    <col min="12" max="12" width="12.42578125" style="15" customWidth="1"/>
    <col min="13" max="13" width="1.140625" style="13" customWidth="1"/>
    <col min="14" max="14" width="69.140625" bestFit="1" customWidth="1"/>
    <col min="15" max="15" width="11.28515625" style="25" bestFit="1" customWidth="1"/>
    <col min="16" max="16" width="10.28515625" bestFit="1" customWidth="1"/>
    <col min="20" max="20" width="11.140625" customWidth="1"/>
    <col min="21" max="21" width="11.85546875" customWidth="1"/>
  </cols>
  <sheetData>
    <row r="1" spans="1:22" s="1" customFormat="1" x14ac:dyDescent="0.2">
      <c r="A1" s="1" t="s">
        <v>67</v>
      </c>
      <c r="B1" s="5">
        <v>2014</v>
      </c>
      <c r="C1" s="4">
        <v>2015</v>
      </c>
      <c r="D1" s="5">
        <v>2016</v>
      </c>
      <c r="E1" s="5">
        <v>2017</v>
      </c>
      <c r="F1" s="5">
        <v>2018</v>
      </c>
      <c r="G1" s="78" t="s">
        <v>203</v>
      </c>
      <c r="H1" s="3" t="s">
        <v>0</v>
      </c>
      <c r="I1" s="150">
        <v>2019</v>
      </c>
      <c r="J1" s="89" t="s">
        <v>170</v>
      </c>
      <c r="K1" s="52">
        <v>2020</v>
      </c>
      <c r="L1" s="6" t="s">
        <v>171</v>
      </c>
      <c r="M1" s="2"/>
      <c r="O1" s="7"/>
    </row>
    <row r="2" spans="1:22" s="1" customFormat="1" x14ac:dyDescent="0.2">
      <c r="B2" s="10" t="s">
        <v>1</v>
      </c>
      <c r="C2" s="9" t="s">
        <v>1</v>
      </c>
      <c r="D2" s="10" t="s">
        <v>1</v>
      </c>
      <c r="E2" s="10" t="s">
        <v>1</v>
      </c>
      <c r="F2" s="10" t="s">
        <v>1</v>
      </c>
      <c r="G2" s="79">
        <v>43708</v>
      </c>
      <c r="H2" s="8" t="s">
        <v>173</v>
      </c>
      <c r="I2" s="151" t="s">
        <v>2</v>
      </c>
      <c r="J2" s="90" t="s">
        <v>3</v>
      </c>
      <c r="K2" s="53" t="s">
        <v>2</v>
      </c>
      <c r="L2" s="104" t="s">
        <v>76</v>
      </c>
      <c r="M2" s="2"/>
      <c r="N2" s="11" t="s">
        <v>4</v>
      </c>
      <c r="O2" s="7"/>
      <c r="U2" s="1" t="s">
        <v>144</v>
      </c>
    </row>
    <row r="3" spans="1:22" x14ac:dyDescent="0.2">
      <c r="A3" s="12" t="s">
        <v>5</v>
      </c>
      <c r="G3" s="80"/>
      <c r="J3" s="91"/>
      <c r="K3" s="54"/>
      <c r="L3" s="21">
        <f>I3-K3</f>
        <v>0</v>
      </c>
      <c r="O3" s="17" t="s">
        <v>6</v>
      </c>
      <c r="P3" s="18" t="s">
        <v>7</v>
      </c>
      <c r="Q3" s="114" t="s">
        <v>140</v>
      </c>
      <c r="R3" s="114" t="s">
        <v>141</v>
      </c>
      <c r="S3" s="115" t="s">
        <v>142</v>
      </c>
      <c r="T3" s="116" t="s">
        <v>143</v>
      </c>
      <c r="U3" s="116" t="s">
        <v>178</v>
      </c>
      <c r="V3" s="24" t="s">
        <v>9</v>
      </c>
    </row>
    <row r="4" spans="1:22" x14ac:dyDescent="0.2">
      <c r="A4" t="s">
        <v>8</v>
      </c>
      <c r="B4" s="19">
        <v>320532</v>
      </c>
      <c r="C4" s="19">
        <v>320950</v>
      </c>
      <c r="D4" s="19">
        <v>313702</v>
      </c>
      <c r="E4" s="19">
        <v>318702</v>
      </c>
      <c r="F4" s="19">
        <v>318702</v>
      </c>
      <c r="G4" s="81">
        <v>217339</v>
      </c>
      <c r="H4" s="68">
        <v>326105</v>
      </c>
      <c r="I4" s="153">
        <v>326105</v>
      </c>
      <c r="J4" s="92">
        <f>H4-I4</f>
        <v>0</v>
      </c>
      <c r="K4" s="59">
        <f>K48-K6-K7-K9</f>
        <v>372572</v>
      </c>
      <c r="L4" s="21">
        <f>I4-K4</f>
        <v>-46467</v>
      </c>
      <c r="N4" s="22" t="s">
        <v>214</v>
      </c>
      <c r="O4" s="23">
        <f>450*84*12</f>
        <v>453600</v>
      </c>
      <c r="P4" s="23">
        <f>(450+15)*84*12</f>
        <v>468720</v>
      </c>
      <c r="Q4" s="23">
        <f>(465+10)*84*12</f>
        <v>478800</v>
      </c>
      <c r="R4" s="23">
        <f>(465+10)*84*12</f>
        <v>478800</v>
      </c>
      <c r="S4" s="23">
        <f>(475+20)*84*12</f>
        <v>498960</v>
      </c>
      <c r="T4" s="107">
        <f>(495+45)*12*84</f>
        <v>544320</v>
      </c>
      <c r="U4" s="107">
        <f>T4</f>
        <v>544320</v>
      </c>
    </row>
    <row r="5" spans="1:22" x14ac:dyDescent="0.2">
      <c r="A5" s="73" t="s">
        <v>72</v>
      </c>
      <c r="B5" s="19"/>
      <c r="C5" s="19"/>
      <c r="D5" s="19"/>
      <c r="E5" s="19">
        <v>63000</v>
      </c>
      <c r="F5" s="19"/>
      <c r="G5" s="81">
        <v>23996</v>
      </c>
      <c r="H5" s="68">
        <v>70600</v>
      </c>
      <c r="I5" s="153">
        <v>0</v>
      </c>
      <c r="J5" s="92">
        <f>H5-I5</f>
        <v>70600</v>
      </c>
      <c r="K5" s="55">
        <v>0</v>
      </c>
      <c r="L5" s="21">
        <f t="shared" ref="L5:L9" si="0">I5-K5</f>
        <v>0</v>
      </c>
      <c r="N5" s="22">
        <f>I4+I65</f>
        <v>498960</v>
      </c>
      <c r="O5" s="23"/>
      <c r="P5" s="23"/>
      <c r="Q5" s="23"/>
      <c r="R5" s="23"/>
      <c r="S5" s="23"/>
    </row>
    <row r="6" spans="1:22" x14ac:dyDescent="0.2">
      <c r="A6" t="s">
        <v>10</v>
      </c>
      <c r="B6" s="19">
        <v>246</v>
      </c>
      <c r="C6" s="19">
        <v>535</v>
      </c>
      <c r="D6" s="19">
        <v>921</v>
      </c>
      <c r="E6" s="19">
        <v>1263</v>
      </c>
      <c r="F6" s="19">
        <v>780</v>
      </c>
      <c r="G6" s="81">
        <v>682</v>
      </c>
      <c r="H6" s="68">
        <f>G6/N12</f>
        <v>1022.4887556221888</v>
      </c>
      <c r="I6" s="153">
        <v>500</v>
      </c>
      <c r="J6" s="92">
        <f t="shared" ref="J6:J9" si="1">H6-I6</f>
        <v>522.48875562218882</v>
      </c>
      <c r="K6" s="55">
        <v>500</v>
      </c>
      <c r="L6" s="21">
        <f t="shared" si="0"/>
        <v>0</v>
      </c>
      <c r="N6" s="112">
        <f>K4+K56</f>
        <v>544320</v>
      </c>
      <c r="O6" s="25">
        <v>320950</v>
      </c>
      <c r="P6" s="25">
        <v>313750</v>
      </c>
      <c r="Q6" s="25">
        <f>313750+5000</f>
        <v>318750</v>
      </c>
      <c r="R6" s="25">
        <f>313750+5000</f>
        <v>318750</v>
      </c>
      <c r="S6" s="25">
        <v>326105</v>
      </c>
      <c r="T6" s="107">
        <f>K4</f>
        <v>372572</v>
      </c>
      <c r="V6" s="24" t="s">
        <v>11</v>
      </c>
    </row>
    <row r="7" spans="1:22" x14ac:dyDescent="0.2">
      <c r="A7" t="s">
        <v>12</v>
      </c>
      <c r="B7" s="19">
        <v>116</v>
      </c>
      <c r="C7" s="19">
        <v>77</v>
      </c>
      <c r="D7" s="19">
        <v>56</v>
      </c>
      <c r="E7" s="19">
        <v>60</v>
      </c>
      <c r="F7" s="19">
        <v>4992</v>
      </c>
      <c r="G7" s="81">
        <v>4466</v>
      </c>
      <c r="H7" s="68">
        <f>G7/$N$12</f>
        <v>6695.652173913043</v>
      </c>
      <c r="I7" s="153">
        <v>1000</v>
      </c>
      <c r="J7" s="92">
        <f t="shared" si="1"/>
        <v>5695.652173913043</v>
      </c>
      <c r="K7" s="55">
        <v>5000</v>
      </c>
      <c r="L7" s="21">
        <f t="shared" si="0"/>
        <v>-4000</v>
      </c>
      <c r="N7" s="113"/>
      <c r="O7" s="25">
        <f t="shared" ref="O7:R7" si="2">O4-O6</f>
        <v>132650</v>
      </c>
      <c r="P7" s="25">
        <f t="shared" si="2"/>
        <v>154970</v>
      </c>
      <c r="Q7" s="25">
        <f t="shared" si="2"/>
        <v>160050</v>
      </c>
      <c r="R7" s="25">
        <f t="shared" si="2"/>
        <v>160050</v>
      </c>
      <c r="S7" s="25">
        <f>S4-S6</f>
        <v>172855</v>
      </c>
      <c r="T7" s="107">
        <f>T4-T6</f>
        <v>171748</v>
      </c>
      <c r="V7" s="24" t="s">
        <v>13</v>
      </c>
    </row>
    <row r="8" spans="1:22" x14ac:dyDescent="0.2">
      <c r="A8" t="s">
        <v>14</v>
      </c>
      <c r="B8" s="19">
        <v>850</v>
      </c>
      <c r="C8" s="19">
        <v>0</v>
      </c>
      <c r="D8" s="19">
        <v>200</v>
      </c>
      <c r="E8" s="19">
        <v>0</v>
      </c>
      <c r="F8" s="19"/>
      <c r="G8" s="81">
        <v>0</v>
      </c>
      <c r="H8" s="68">
        <f t="shared" ref="H8:H9" si="3">G8/$N$12</f>
        <v>0</v>
      </c>
      <c r="I8" s="153">
        <v>0</v>
      </c>
      <c r="J8" s="92">
        <f t="shared" si="1"/>
        <v>0</v>
      </c>
      <c r="K8" s="55">
        <v>0</v>
      </c>
      <c r="L8" s="21">
        <f t="shared" si="0"/>
        <v>0</v>
      </c>
    </row>
    <row r="9" spans="1:22" s="26" customFormat="1" x14ac:dyDescent="0.2">
      <c r="A9" s="26" t="s">
        <v>15</v>
      </c>
      <c r="B9" s="27">
        <v>772</v>
      </c>
      <c r="C9" s="27">
        <v>1045</v>
      </c>
      <c r="D9" s="27">
        <v>1270</v>
      </c>
      <c r="E9" s="27">
        <v>867</v>
      </c>
      <c r="F9" s="27">
        <v>960</v>
      </c>
      <c r="G9" s="82">
        <v>534</v>
      </c>
      <c r="H9" s="176">
        <f t="shared" si="3"/>
        <v>800.59970014992496</v>
      </c>
      <c r="I9" s="153">
        <v>750</v>
      </c>
      <c r="J9" s="92">
        <f t="shared" si="1"/>
        <v>50.599700149924956</v>
      </c>
      <c r="K9" s="55">
        <v>750</v>
      </c>
      <c r="L9" s="21">
        <f t="shared" si="0"/>
        <v>0</v>
      </c>
      <c r="M9" s="29"/>
      <c r="N9" s="26">
        <f>330855-2500</f>
        <v>328355</v>
      </c>
      <c r="O9" s="37">
        <f t="shared" ref="O9:S9" si="4">O4/84/12</f>
        <v>450</v>
      </c>
      <c r="P9" s="37">
        <f t="shared" si="4"/>
        <v>465</v>
      </c>
      <c r="Q9" s="37">
        <f t="shared" si="4"/>
        <v>475</v>
      </c>
      <c r="R9" s="37">
        <f t="shared" si="4"/>
        <v>475</v>
      </c>
      <c r="S9" s="37">
        <f t="shared" si="4"/>
        <v>495</v>
      </c>
      <c r="T9" s="145">
        <f>T4/84/12</f>
        <v>540</v>
      </c>
    </row>
    <row r="10" spans="1:22" s="26" customFormat="1" x14ac:dyDescent="0.2">
      <c r="A10" s="31" t="s">
        <v>16</v>
      </c>
      <c r="B10" s="33">
        <f>SUM(B4:B9)</f>
        <v>322516</v>
      </c>
      <c r="C10" s="32">
        <f t="shared" ref="C10:J10" si="5">SUM(C4:C9)</f>
        <v>322607</v>
      </c>
      <c r="D10" s="33">
        <f t="shared" si="5"/>
        <v>316149</v>
      </c>
      <c r="E10" s="33">
        <f t="shared" si="5"/>
        <v>383892</v>
      </c>
      <c r="F10" s="33">
        <f>SUM(F4:F9)</f>
        <v>325434</v>
      </c>
      <c r="G10" s="81">
        <f>SUM(G4:G9)</f>
        <v>247017</v>
      </c>
      <c r="H10" s="33">
        <f>SUM(H4:H9)</f>
        <v>405223.74062968511</v>
      </c>
      <c r="I10" s="154">
        <f>SUM(I4:I9)</f>
        <v>328355</v>
      </c>
      <c r="J10" s="93">
        <f t="shared" si="5"/>
        <v>76868.740629685155</v>
      </c>
      <c r="K10" s="56">
        <f>SUM(K4:K9)</f>
        <v>378822</v>
      </c>
      <c r="L10" s="69">
        <f t="shared" ref="L10" si="6">SUM(L4:L9)</f>
        <v>-50467</v>
      </c>
      <c r="M10" s="29"/>
      <c r="O10" s="30"/>
    </row>
    <row r="11" spans="1:22" ht="5.0999999999999996" customHeight="1" x14ac:dyDescent="0.2">
      <c r="B11" s="20"/>
      <c r="C11" s="19"/>
      <c r="D11" s="20"/>
      <c r="E11" s="20"/>
      <c r="F11" s="20"/>
      <c r="G11" s="81"/>
      <c r="H11" s="20"/>
      <c r="I11" s="153"/>
      <c r="J11" s="92"/>
      <c r="K11" s="55"/>
      <c r="L11" s="21"/>
    </row>
    <row r="12" spans="1:22" x14ac:dyDescent="0.2">
      <c r="A12" s="12" t="s">
        <v>17</v>
      </c>
      <c r="B12" s="20"/>
      <c r="C12" s="19"/>
      <c r="D12" s="20"/>
      <c r="E12" s="20"/>
      <c r="F12" s="20"/>
      <c r="G12" s="81"/>
      <c r="H12" s="20"/>
      <c r="I12" s="153"/>
      <c r="J12" s="92"/>
      <c r="K12" s="55"/>
      <c r="L12" s="21"/>
      <c r="N12" s="175">
        <v>0.66700000000000004</v>
      </c>
      <c r="S12" s="24" t="s">
        <v>192</v>
      </c>
      <c r="U12" s="173">
        <f>(T9-S9)/S9</f>
        <v>9.0909090909090912E-2</v>
      </c>
    </row>
    <row r="13" spans="1:22" x14ac:dyDescent="0.2">
      <c r="A13" s="35" t="s">
        <v>18</v>
      </c>
      <c r="B13" s="20">
        <v>-5636</v>
      </c>
      <c r="C13" s="19">
        <v>0</v>
      </c>
      <c r="D13" s="20">
        <v>100</v>
      </c>
      <c r="E13" s="20">
        <v>0</v>
      </c>
      <c r="F13" s="14">
        <v>-100</v>
      </c>
      <c r="G13" s="83">
        <v>0</v>
      </c>
      <c r="H13" s="68">
        <v>0</v>
      </c>
      <c r="I13" s="153">
        <v>0</v>
      </c>
      <c r="J13" s="92">
        <f>I13-H13</f>
        <v>0</v>
      </c>
      <c r="K13" s="55">
        <v>0</v>
      </c>
      <c r="L13" s="21">
        <f>K13-I13</f>
        <v>0</v>
      </c>
      <c r="T13" s="107"/>
    </row>
    <row r="14" spans="1:22" x14ac:dyDescent="0.2">
      <c r="A14" t="s">
        <v>19</v>
      </c>
      <c r="B14" s="19">
        <v>10657</v>
      </c>
      <c r="C14" s="19">
        <v>11458</v>
      </c>
      <c r="D14" s="19">
        <v>11311</v>
      </c>
      <c r="E14" s="19">
        <v>10071</v>
      </c>
      <c r="F14" s="20">
        <v>11499</v>
      </c>
      <c r="G14" s="84">
        <v>6785</v>
      </c>
      <c r="H14" s="68">
        <v>12500</v>
      </c>
      <c r="I14" s="153">
        <v>12500</v>
      </c>
      <c r="J14" s="92">
        <f>I14-H14</f>
        <v>0</v>
      </c>
      <c r="K14" s="55">
        <v>12500</v>
      </c>
      <c r="L14" s="21">
        <f t="shared" ref="L14:L22" si="7">K14-I14</f>
        <v>0</v>
      </c>
      <c r="T14" s="141"/>
    </row>
    <row r="15" spans="1:22" x14ac:dyDescent="0.2">
      <c r="A15" t="s">
        <v>20</v>
      </c>
      <c r="B15" s="19">
        <v>651</v>
      </c>
      <c r="C15" s="19">
        <v>543</v>
      </c>
      <c r="D15" s="19">
        <v>711</v>
      </c>
      <c r="E15" s="19">
        <v>237</v>
      </c>
      <c r="F15" s="19">
        <v>231</v>
      </c>
      <c r="G15" s="81">
        <v>233</v>
      </c>
      <c r="H15" s="68">
        <f t="shared" ref="H15:H22" si="8">G15/$N$12</f>
        <v>349.32533733133431</v>
      </c>
      <c r="I15" s="153">
        <v>750</v>
      </c>
      <c r="J15" s="92">
        <f t="shared" ref="J15:J22" si="9">I15-H15</f>
        <v>400.67466266866569</v>
      </c>
      <c r="K15" s="55">
        <v>500</v>
      </c>
      <c r="L15" s="21">
        <f t="shared" si="7"/>
        <v>-250</v>
      </c>
      <c r="T15" s="13"/>
    </row>
    <row r="16" spans="1:22" x14ac:dyDescent="0.2">
      <c r="A16" s="40" t="s">
        <v>21</v>
      </c>
      <c r="B16" s="19">
        <v>28678</v>
      </c>
      <c r="C16" s="19">
        <v>26104</v>
      </c>
      <c r="D16" s="19">
        <v>26640</v>
      </c>
      <c r="E16" s="19">
        <v>28237</v>
      </c>
      <c r="F16" s="19">
        <v>25627</v>
      </c>
      <c r="G16" s="81">
        <v>20412</v>
      </c>
      <c r="H16" s="68">
        <f>G16/$N$12</f>
        <v>30602.698650674662</v>
      </c>
      <c r="I16" s="153">
        <v>28500</v>
      </c>
      <c r="J16" s="94">
        <f t="shared" si="9"/>
        <v>-2102.6986506746616</v>
      </c>
      <c r="K16" s="55">
        <f>32000+32000*0.04</f>
        <v>33280</v>
      </c>
      <c r="L16" s="21">
        <f t="shared" si="7"/>
        <v>4780</v>
      </c>
      <c r="N16" s="24" t="s">
        <v>182</v>
      </c>
      <c r="P16" s="110" t="s">
        <v>138</v>
      </c>
      <c r="Q16" s="24"/>
      <c r="R16" s="24"/>
      <c r="S16" s="24"/>
      <c r="T16" s="107"/>
      <c r="U16" s="107"/>
      <c r="V16" s="37"/>
    </row>
    <row r="17" spans="1:27" x14ac:dyDescent="0.2">
      <c r="A17" t="s">
        <v>22</v>
      </c>
      <c r="B17" s="19">
        <v>-822</v>
      </c>
      <c r="C17" s="19">
        <v>0</v>
      </c>
      <c r="D17" s="19">
        <v>270</v>
      </c>
      <c r="E17" s="19"/>
      <c r="F17" s="19">
        <v>4543</v>
      </c>
      <c r="G17" s="81">
        <v>4662</v>
      </c>
      <c r="H17" s="68">
        <v>4662</v>
      </c>
      <c r="I17" s="153">
        <v>2500</v>
      </c>
      <c r="J17" s="92">
        <f t="shared" si="9"/>
        <v>-2162</v>
      </c>
      <c r="K17" s="55">
        <v>2500</v>
      </c>
      <c r="L17" s="21">
        <f t="shared" si="7"/>
        <v>0</v>
      </c>
      <c r="T17" s="107"/>
    </row>
    <row r="18" spans="1:27" x14ac:dyDescent="0.2">
      <c r="A18" t="s">
        <v>23</v>
      </c>
      <c r="B18" s="19">
        <v>7061</v>
      </c>
      <c r="C18" s="19">
        <v>2986</v>
      </c>
      <c r="D18" s="19">
        <v>8367</v>
      </c>
      <c r="E18" s="19">
        <v>2086</v>
      </c>
      <c r="F18" s="19"/>
      <c r="G18" s="81">
        <v>0</v>
      </c>
      <c r="H18" s="68">
        <f t="shared" si="8"/>
        <v>0</v>
      </c>
      <c r="I18" s="153">
        <v>0</v>
      </c>
      <c r="J18" s="92">
        <f>I18-H18</f>
        <v>0</v>
      </c>
      <c r="K18" s="55">
        <v>0</v>
      </c>
      <c r="L18" s="21">
        <f t="shared" si="7"/>
        <v>0</v>
      </c>
      <c r="N18" s="24"/>
      <c r="T18" s="107"/>
    </row>
    <row r="19" spans="1:27" x14ac:dyDescent="0.2">
      <c r="A19" s="40" t="s">
        <v>24</v>
      </c>
      <c r="B19" s="19">
        <v>89124</v>
      </c>
      <c r="C19" s="19">
        <v>94504</v>
      </c>
      <c r="D19" s="19">
        <v>96480</v>
      </c>
      <c r="E19" s="19">
        <v>95610</v>
      </c>
      <c r="F19" s="19">
        <v>98976</v>
      </c>
      <c r="G19" s="81">
        <v>78479</v>
      </c>
      <c r="H19" s="68">
        <f>G19+12400*4</f>
        <v>128079</v>
      </c>
      <c r="I19" s="153">
        <v>104455</v>
      </c>
      <c r="J19" s="94">
        <f>I19-H19</f>
        <v>-23624</v>
      </c>
      <c r="K19" s="55">
        <f>12400*6+(12400*1.02)*6</f>
        <v>150288</v>
      </c>
      <c r="L19" s="21">
        <f t="shared" si="7"/>
        <v>45833</v>
      </c>
      <c r="N19" s="24" t="s">
        <v>213</v>
      </c>
      <c r="P19" s="37"/>
      <c r="U19" s="24"/>
    </row>
    <row r="20" spans="1:27" x14ac:dyDescent="0.2">
      <c r="A20" t="s">
        <v>25</v>
      </c>
      <c r="B20" s="19">
        <v>5320</v>
      </c>
      <c r="C20" s="19">
        <v>4439</v>
      </c>
      <c r="D20" s="19">
        <v>2878</v>
      </c>
      <c r="E20" s="19">
        <v>6449</v>
      </c>
      <c r="F20" s="14">
        <v>2682</v>
      </c>
      <c r="G20" s="81">
        <v>1974</v>
      </c>
      <c r="H20" s="68">
        <f t="shared" si="8"/>
        <v>2959.5202398800598</v>
      </c>
      <c r="I20" s="153">
        <v>3200</v>
      </c>
      <c r="J20" s="92">
        <f t="shared" si="9"/>
        <v>240.47976011994024</v>
      </c>
      <c r="K20" s="55">
        <v>3200</v>
      </c>
      <c r="L20" s="21">
        <f t="shared" si="7"/>
        <v>0</v>
      </c>
      <c r="N20" s="24" t="s">
        <v>183</v>
      </c>
    </row>
    <row r="21" spans="1:27" x14ac:dyDescent="0.2">
      <c r="A21" t="s">
        <v>26</v>
      </c>
      <c r="B21" s="19">
        <f>807+25</f>
        <v>832</v>
      </c>
      <c r="C21" s="19">
        <f>806+35</f>
        <v>841</v>
      </c>
      <c r="D21" s="19">
        <v>41</v>
      </c>
      <c r="E21" s="19">
        <v>45</v>
      </c>
      <c r="F21" s="19">
        <v>641</v>
      </c>
      <c r="G21" s="81">
        <v>10</v>
      </c>
      <c r="H21" s="68">
        <f t="shared" si="8"/>
        <v>14.992503748125936</v>
      </c>
      <c r="I21" s="153">
        <v>50</v>
      </c>
      <c r="J21" s="92">
        <f t="shared" si="9"/>
        <v>35.007496251874066</v>
      </c>
      <c r="K21" s="55">
        <v>50</v>
      </c>
      <c r="L21" s="21">
        <f t="shared" si="7"/>
        <v>0</v>
      </c>
      <c r="N21" s="24" t="s">
        <v>82</v>
      </c>
    </row>
    <row r="22" spans="1:27" x14ac:dyDescent="0.2">
      <c r="A22" t="s">
        <v>27</v>
      </c>
      <c r="B22" s="27">
        <v>2221</v>
      </c>
      <c r="C22" s="27">
        <v>3601</v>
      </c>
      <c r="D22" s="27">
        <v>3720</v>
      </c>
      <c r="E22" s="27">
        <v>3063</v>
      </c>
      <c r="F22" s="27">
        <v>6062</v>
      </c>
      <c r="G22" s="82">
        <v>4074</v>
      </c>
      <c r="H22" s="176">
        <f t="shared" si="8"/>
        <v>6107.9460269865067</v>
      </c>
      <c r="I22" s="153">
        <v>5400</v>
      </c>
      <c r="J22" s="95">
        <f t="shared" si="9"/>
        <v>-707.94602698650669</v>
      </c>
      <c r="K22" s="55">
        <v>6500</v>
      </c>
      <c r="L22" s="38">
        <f t="shared" si="7"/>
        <v>1100</v>
      </c>
      <c r="N22" s="24"/>
      <c r="Q22" s="107"/>
      <c r="R22" s="107"/>
      <c r="S22" s="107"/>
    </row>
    <row r="23" spans="1:27" x14ac:dyDescent="0.2">
      <c r="A23" s="12" t="s">
        <v>28</v>
      </c>
      <c r="B23" s="20">
        <f>SUM(B13:B22)</f>
        <v>138086</v>
      </c>
      <c r="C23" s="19">
        <f>SUM(C13:C22)</f>
        <v>144476</v>
      </c>
      <c r="D23" s="20">
        <f t="shared" ref="D23:E23" si="10">SUM(D13:D22)</f>
        <v>150518</v>
      </c>
      <c r="E23" s="20">
        <f t="shared" si="10"/>
        <v>145798</v>
      </c>
      <c r="F23" s="20">
        <f>SUM(F13:F22)</f>
        <v>150161</v>
      </c>
      <c r="G23" s="81">
        <f>SUM(G13:G22)</f>
        <v>116629</v>
      </c>
      <c r="H23" s="34">
        <f>SUM(H13:H22)</f>
        <v>185275.48275862067</v>
      </c>
      <c r="I23" s="154">
        <f>SUM(I14:I22)</f>
        <v>157355</v>
      </c>
      <c r="J23" s="96">
        <f>SUM(J13:J22)</f>
        <v>-27920.482758620688</v>
      </c>
      <c r="K23" s="56">
        <f>SUM(K14:K22)</f>
        <v>208818</v>
      </c>
      <c r="L23" s="19">
        <f>SUM(L13:L22)</f>
        <v>51463</v>
      </c>
    </row>
    <row r="24" spans="1:27" ht="6.75" customHeight="1" x14ac:dyDescent="0.2">
      <c r="B24" s="20"/>
      <c r="C24" s="19"/>
      <c r="D24" s="20"/>
      <c r="E24" s="20"/>
      <c r="F24" s="20"/>
      <c r="G24" s="81"/>
      <c r="H24" s="20"/>
      <c r="I24" s="153"/>
      <c r="J24" s="92"/>
      <c r="K24" s="55"/>
      <c r="L24" s="21"/>
    </row>
    <row r="25" spans="1:27" x14ac:dyDescent="0.2">
      <c r="A25" s="12" t="s">
        <v>29</v>
      </c>
      <c r="B25" s="19"/>
      <c r="C25" s="19"/>
      <c r="D25" s="19"/>
      <c r="E25" s="19"/>
      <c r="F25" s="19"/>
      <c r="G25" s="81"/>
      <c r="H25" s="20"/>
      <c r="I25" s="153"/>
      <c r="J25" s="92"/>
      <c r="K25" s="55"/>
      <c r="L25" s="21"/>
    </row>
    <row r="26" spans="1:27" x14ac:dyDescent="0.2">
      <c r="A26" t="s">
        <v>32</v>
      </c>
      <c r="B26" s="19">
        <v>16552</v>
      </c>
      <c r="C26" s="32">
        <v>9305</v>
      </c>
      <c r="D26" s="32">
        <v>6937</v>
      </c>
      <c r="E26" s="32">
        <v>8178</v>
      </c>
      <c r="F26" s="32">
        <v>14867</v>
      </c>
      <c r="G26" s="81">
        <v>14085</v>
      </c>
      <c r="H26" s="68">
        <f>G26/$N$12 +2000+3000</f>
        <v>26116.941529235381</v>
      </c>
      <c r="I26" s="155">
        <v>16000</v>
      </c>
      <c r="J26" s="109">
        <f>I26-H26</f>
        <v>-10116.941529235381</v>
      </c>
      <c r="K26" s="57">
        <v>16000</v>
      </c>
      <c r="L26" s="109">
        <f>K26-I26</f>
        <v>0</v>
      </c>
      <c r="M26" s="29"/>
      <c r="N26" s="24" t="s">
        <v>179</v>
      </c>
      <c r="O26" s="30"/>
      <c r="P26" s="26"/>
      <c r="Q26" s="26"/>
      <c r="R26" s="26"/>
      <c r="S26" s="26"/>
      <c r="U26" s="26"/>
      <c r="V26" s="26"/>
      <c r="W26" s="26"/>
      <c r="X26" s="26"/>
      <c r="Y26" s="26"/>
      <c r="Z26" s="26"/>
      <c r="AA26" s="26"/>
    </row>
    <row r="27" spans="1:27" x14ac:dyDescent="0.2">
      <c r="A27" s="24" t="s">
        <v>30</v>
      </c>
      <c r="B27" s="19">
        <v>61</v>
      </c>
      <c r="C27" s="19">
        <v>0</v>
      </c>
      <c r="D27" s="19">
        <v>0</v>
      </c>
      <c r="E27" s="19">
        <v>0</v>
      </c>
      <c r="F27" s="19">
        <v>0</v>
      </c>
      <c r="G27" s="81">
        <v>0</v>
      </c>
      <c r="H27" s="68">
        <f>G27/$N$12</f>
        <v>0</v>
      </c>
      <c r="I27" s="153">
        <v>0</v>
      </c>
      <c r="J27" s="92">
        <f t="shared" ref="J27:J30" si="11">I27-H27</f>
        <v>0</v>
      </c>
      <c r="K27" s="55">
        <v>0</v>
      </c>
      <c r="L27" s="21">
        <f t="shared" ref="L27:L30" si="12">K27-I27</f>
        <v>0</v>
      </c>
      <c r="N27" s="24" t="s">
        <v>78</v>
      </c>
    </row>
    <row r="28" spans="1:27" x14ac:dyDescent="0.2">
      <c r="A28" t="s">
        <v>33</v>
      </c>
      <c r="B28" s="19">
        <v>2805</v>
      </c>
      <c r="C28" s="32">
        <v>2762</v>
      </c>
      <c r="D28" s="32">
        <v>6203</v>
      </c>
      <c r="E28" s="32">
        <v>1722</v>
      </c>
      <c r="F28" s="32">
        <v>2339</v>
      </c>
      <c r="G28" s="81">
        <f>1451 + 3000</f>
        <v>4451</v>
      </c>
      <c r="H28" s="68">
        <v>5000</v>
      </c>
      <c r="I28" s="155">
        <v>5000</v>
      </c>
      <c r="J28" s="109">
        <f>I28-H28</f>
        <v>0</v>
      </c>
      <c r="K28" s="57">
        <v>5000</v>
      </c>
      <c r="L28" s="109">
        <f t="shared" si="12"/>
        <v>0</v>
      </c>
      <c r="M28" s="29"/>
      <c r="N28" s="26"/>
      <c r="O28" s="30"/>
      <c r="P28" s="26"/>
      <c r="Q28" s="26"/>
      <c r="R28" s="26"/>
      <c r="S28" s="26"/>
      <c r="U28" s="26"/>
      <c r="V28" s="26"/>
      <c r="W28" s="26"/>
      <c r="X28" s="26"/>
      <c r="Y28" s="26"/>
      <c r="Z28" s="26"/>
      <c r="AA28" s="26"/>
    </row>
    <row r="29" spans="1:27" x14ac:dyDescent="0.2">
      <c r="A29" t="s">
        <v>34</v>
      </c>
      <c r="B29" s="19">
        <v>7358</v>
      </c>
      <c r="C29" s="32">
        <v>5871</v>
      </c>
      <c r="D29" s="32">
        <v>4822</v>
      </c>
      <c r="E29" s="32">
        <v>3419</v>
      </c>
      <c r="F29" s="32">
        <v>3367</v>
      </c>
      <c r="G29" s="81">
        <v>12106</v>
      </c>
      <c r="H29" s="68">
        <f t="shared" ref="H29:H30" si="13">G29/$N$12</f>
        <v>18149.925037481258</v>
      </c>
      <c r="I29" s="155">
        <v>7500</v>
      </c>
      <c r="J29" s="109">
        <f t="shared" si="11"/>
        <v>-10649.925037481258</v>
      </c>
      <c r="K29" s="179">
        <v>10000</v>
      </c>
      <c r="L29" s="109">
        <f t="shared" si="12"/>
        <v>2500</v>
      </c>
      <c r="M29" s="29"/>
      <c r="N29" s="174" t="s">
        <v>206</v>
      </c>
      <c r="O29" s="30"/>
      <c r="P29" s="26"/>
      <c r="Q29" s="26"/>
      <c r="R29" s="26"/>
      <c r="S29" s="26"/>
      <c r="U29" s="26"/>
      <c r="V29" s="26"/>
      <c r="W29" s="26"/>
      <c r="X29" s="26"/>
      <c r="Y29" s="26"/>
      <c r="Z29" s="26"/>
      <c r="AA29" s="26"/>
    </row>
    <row r="30" spans="1:27" x14ac:dyDescent="0.2">
      <c r="A30" t="s">
        <v>35</v>
      </c>
      <c r="B30" s="32">
        <v>947</v>
      </c>
      <c r="C30" s="32">
        <v>739</v>
      </c>
      <c r="D30" s="32">
        <v>17</v>
      </c>
      <c r="E30" s="32">
        <v>547</v>
      </c>
      <c r="F30" s="32">
        <v>1221</v>
      </c>
      <c r="G30" s="81">
        <v>2584</v>
      </c>
      <c r="H30" s="68">
        <f t="shared" si="13"/>
        <v>3874.0629685157419</v>
      </c>
      <c r="I30" s="155">
        <v>1000</v>
      </c>
      <c r="J30" s="109">
        <f t="shared" si="11"/>
        <v>-2874.0629685157419</v>
      </c>
      <c r="K30" s="57">
        <v>2000</v>
      </c>
      <c r="L30" s="109">
        <f t="shared" si="12"/>
        <v>1000</v>
      </c>
      <c r="M30" s="29"/>
      <c r="N30" s="174" t="s">
        <v>199</v>
      </c>
      <c r="O30" s="30"/>
      <c r="P30" s="26"/>
      <c r="Q30" s="26"/>
      <c r="R30" s="26"/>
      <c r="S30" s="26"/>
      <c r="U30" s="26"/>
      <c r="V30" s="26"/>
      <c r="W30" s="26"/>
      <c r="X30" s="26"/>
      <c r="Y30" s="26"/>
      <c r="Z30" s="26"/>
      <c r="AA30" s="26"/>
    </row>
    <row r="31" spans="1:27" x14ac:dyDescent="0.2">
      <c r="A31" t="s">
        <v>43</v>
      </c>
      <c r="B31" s="19">
        <v>14218</v>
      </c>
      <c r="C31" s="19">
        <v>15002</v>
      </c>
      <c r="D31" s="19">
        <v>14688</v>
      </c>
      <c r="E31" s="19">
        <v>15108</v>
      </c>
      <c r="F31" s="19">
        <v>15252</v>
      </c>
      <c r="G31" s="81">
        <v>9282</v>
      </c>
      <c r="H31" s="68">
        <v>15200</v>
      </c>
      <c r="I31" s="153">
        <v>16000</v>
      </c>
      <c r="J31" s="92">
        <f>I31-H31</f>
        <v>800</v>
      </c>
      <c r="K31" s="57">
        <f>H31*1.02</f>
        <v>15504</v>
      </c>
      <c r="L31" s="21">
        <f>K31-I31</f>
        <v>-496</v>
      </c>
      <c r="N31" s="36" t="s">
        <v>181</v>
      </c>
      <c r="O31" s="23"/>
    </row>
    <row r="32" spans="1:27" x14ac:dyDescent="0.2">
      <c r="A32" t="s">
        <v>31</v>
      </c>
      <c r="B32" s="27">
        <v>3393</v>
      </c>
      <c r="C32" s="27">
        <v>3195</v>
      </c>
      <c r="D32" s="27">
        <v>1962</v>
      </c>
      <c r="E32" s="27">
        <v>2786</v>
      </c>
      <c r="F32" s="27">
        <v>4641</v>
      </c>
      <c r="G32" s="82">
        <v>7929</v>
      </c>
      <c r="H32" s="176">
        <v>10000</v>
      </c>
      <c r="I32" s="153">
        <v>6500</v>
      </c>
      <c r="J32" s="95">
        <f>I32-H32</f>
        <v>-3500</v>
      </c>
      <c r="K32" s="55">
        <v>6500</v>
      </c>
      <c r="L32" s="38">
        <f>K32-I32</f>
        <v>0</v>
      </c>
      <c r="N32" s="24" t="s">
        <v>180</v>
      </c>
    </row>
    <row r="33" spans="1:16" x14ac:dyDescent="0.2">
      <c r="A33" s="12" t="s">
        <v>36</v>
      </c>
      <c r="B33" s="20">
        <f ca="1">SUM(B27:B41)</f>
        <v>29729</v>
      </c>
      <c r="C33" s="19">
        <f ca="1">SUM(C27:C41)</f>
        <v>27569</v>
      </c>
      <c r="D33" s="20">
        <f ca="1">SUM(D27:D41)</f>
        <v>27692</v>
      </c>
      <c r="E33" s="20">
        <f ca="1">SUM(E27:E41)</f>
        <v>14465</v>
      </c>
      <c r="F33" s="20">
        <f>SUM(F26:F32)</f>
        <v>41687</v>
      </c>
      <c r="G33" s="81">
        <f>SUM(G26:G32)</f>
        <v>50437</v>
      </c>
      <c r="H33" s="20">
        <f>SUM(H26:H32)</f>
        <v>78340.929535232368</v>
      </c>
      <c r="I33" s="154">
        <f>SUM(I26:I32)</f>
        <v>52000</v>
      </c>
      <c r="J33" s="96">
        <f ca="1">SUM(J27:J41)</f>
        <v>-16827.586206896551</v>
      </c>
      <c r="K33" s="56">
        <f>SUM(K26:K32)</f>
        <v>55004</v>
      </c>
      <c r="L33" s="19">
        <f>SUM(L26:L31:L32)</f>
        <v>3004</v>
      </c>
    </row>
    <row r="34" spans="1:16" ht="6.75" customHeight="1" x14ac:dyDescent="0.2">
      <c r="B34" s="20"/>
      <c r="C34" s="19"/>
      <c r="D34" s="20"/>
      <c r="E34" s="20"/>
      <c r="F34" s="20"/>
      <c r="G34" s="81"/>
      <c r="H34" s="20"/>
      <c r="I34" s="153"/>
      <c r="J34" s="92"/>
      <c r="K34" s="55"/>
      <c r="L34" s="21"/>
    </row>
    <row r="35" spans="1:16" x14ac:dyDescent="0.2">
      <c r="A35" s="12" t="s">
        <v>37</v>
      </c>
      <c r="B35" s="20"/>
      <c r="C35" s="19"/>
      <c r="D35" s="20"/>
      <c r="E35" s="20"/>
      <c r="F35" s="20"/>
      <c r="G35" s="81"/>
      <c r="H35" s="20"/>
      <c r="I35" s="153"/>
      <c r="J35" s="92"/>
      <c r="K35" s="55"/>
      <c r="L35" s="21"/>
    </row>
    <row r="36" spans="1:16" x14ac:dyDescent="0.2">
      <c r="A36" s="40" t="s">
        <v>41</v>
      </c>
      <c r="B36" s="19">
        <v>-795</v>
      </c>
      <c r="C36" s="19">
        <v>245</v>
      </c>
      <c r="D36" s="19">
        <v>111</v>
      </c>
      <c r="E36" s="19">
        <v>-2957</v>
      </c>
      <c r="F36" s="19">
        <v>124</v>
      </c>
      <c r="G36" s="83">
        <v>16</v>
      </c>
      <c r="H36" s="68">
        <f t="shared" ref="H36:H38" si="14">G36/$N$12</f>
        <v>23.988005997001498</v>
      </c>
      <c r="I36" s="153">
        <v>0</v>
      </c>
      <c r="J36" s="92">
        <f>I36-H36</f>
        <v>-23.988005997001498</v>
      </c>
      <c r="K36" s="55">
        <v>0</v>
      </c>
      <c r="L36" s="21">
        <f>K36-I36</f>
        <v>0</v>
      </c>
      <c r="N36" s="24" t="s">
        <v>42</v>
      </c>
      <c r="O36" s="23"/>
    </row>
    <row r="37" spans="1:16" x14ac:dyDescent="0.2">
      <c r="A37" s="24" t="s">
        <v>39</v>
      </c>
      <c r="B37" s="19">
        <v>13859</v>
      </c>
      <c r="C37" s="19">
        <v>14636</v>
      </c>
      <c r="D37" s="19">
        <v>15761</v>
      </c>
      <c r="E37" s="19">
        <v>15709</v>
      </c>
      <c r="F37" s="19">
        <v>18643</v>
      </c>
      <c r="G37" s="81">
        <v>10939</v>
      </c>
      <c r="H37" s="68">
        <f t="shared" si="14"/>
        <v>16400.29985007496</v>
      </c>
      <c r="I37" s="153">
        <v>22000</v>
      </c>
      <c r="J37" s="92">
        <f>I37-H37</f>
        <v>5599.70014992504</v>
      </c>
      <c r="K37" s="180">
        <v>18000</v>
      </c>
      <c r="L37" s="21">
        <f t="shared" ref="L37:L38" si="15">K37-I37</f>
        <v>-4000</v>
      </c>
      <c r="N37" s="24" t="s">
        <v>175</v>
      </c>
      <c r="O37" s="30"/>
      <c r="P37" s="26"/>
    </row>
    <row r="38" spans="1:16" x14ac:dyDescent="0.2">
      <c r="A38" t="s">
        <v>40</v>
      </c>
      <c r="B38" s="19">
        <v>13841</v>
      </c>
      <c r="C38" s="19">
        <v>12992</v>
      </c>
      <c r="D38" s="19">
        <v>12983</v>
      </c>
      <c r="E38" s="19">
        <v>17999</v>
      </c>
      <c r="F38" s="19">
        <v>13915</v>
      </c>
      <c r="G38" s="81">
        <v>13145</v>
      </c>
      <c r="H38" s="68">
        <f t="shared" si="14"/>
        <v>19707.646176911545</v>
      </c>
      <c r="I38" s="153">
        <v>19500</v>
      </c>
      <c r="J38" s="92">
        <f>I38-H38</f>
        <v>-207.6461769115449</v>
      </c>
      <c r="K38" s="59">
        <v>19500</v>
      </c>
      <c r="L38" s="21">
        <f t="shared" si="15"/>
        <v>0</v>
      </c>
      <c r="N38" s="24" t="s">
        <v>201</v>
      </c>
      <c r="O38" s="167"/>
      <c r="P38" s="168"/>
    </row>
    <row r="39" spans="1:16" ht="12" customHeight="1" x14ac:dyDescent="0.2">
      <c r="A39" t="s">
        <v>38</v>
      </c>
      <c r="B39" s="19">
        <v>3672</v>
      </c>
      <c r="C39" s="19">
        <v>6416</v>
      </c>
      <c r="D39" s="19">
        <v>15308</v>
      </c>
      <c r="E39" s="19">
        <v>125510</v>
      </c>
      <c r="F39" s="19">
        <v>16021</v>
      </c>
      <c r="G39" s="83">
        <v>106405</v>
      </c>
      <c r="H39" s="68">
        <f>G39+(40000/7)*2</f>
        <v>117833.57142857143</v>
      </c>
      <c r="I39" s="153">
        <v>40000</v>
      </c>
      <c r="J39" s="97">
        <f>I39-H39</f>
        <v>-77833.571428571435</v>
      </c>
      <c r="K39" s="55">
        <v>40000</v>
      </c>
      <c r="L39" s="21">
        <f>K39-I39</f>
        <v>0</v>
      </c>
      <c r="N39" s="77" t="s">
        <v>200</v>
      </c>
    </row>
    <row r="40" spans="1:16" x14ac:dyDescent="0.2">
      <c r="A40" t="s">
        <v>44</v>
      </c>
      <c r="B40" s="32">
        <v>31010</v>
      </c>
      <c r="C40" s="32">
        <v>30825</v>
      </c>
      <c r="D40" s="32">
        <v>32930</v>
      </c>
      <c r="E40" s="32">
        <v>36973</v>
      </c>
      <c r="F40" s="32">
        <v>37247</v>
      </c>
      <c r="G40" s="84">
        <v>22402</v>
      </c>
      <c r="H40" s="68">
        <v>37000</v>
      </c>
      <c r="I40" s="155">
        <f>36000*1.03-80+500</f>
        <v>37500</v>
      </c>
      <c r="J40" s="109">
        <f t="shared" ref="J40" si="16">I40-H40</f>
        <v>500</v>
      </c>
      <c r="K40" s="179">
        <f>36000*1.03-80+500</f>
        <v>37500</v>
      </c>
      <c r="L40" s="21">
        <f>K40-I40</f>
        <v>0</v>
      </c>
      <c r="N40" s="24" t="s">
        <v>175</v>
      </c>
      <c r="O40" s="30"/>
      <c r="P40" s="169"/>
    </row>
    <row r="41" spans="1:16" x14ac:dyDescent="0.2">
      <c r="A41" t="s">
        <v>90</v>
      </c>
      <c r="B41" s="27">
        <v>947</v>
      </c>
      <c r="C41" s="27">
        <v>0</v>
      </c>
      <c r="D41" s="27">
        <v>0</v>
      </c>
      <c r="E41" s="27">
        <v>-9117</v>
      </c>
      <c r="F41" s="27">
        <v>-8568</v>
      </c>
      <c r="G41" s="82">
        <v>0</v>
      </c>
      <c r="H41" s="176">
        <f>G41/$N$12</f>
        <v>0</v>
      </c>
      <c r="I41" s="153">
        <v>0</v>
      </c>
      <c r="J41" s="95">
        <f>I41-H41</f>
        <v>0</v>
      </c>
      <c r="K41" s="55">
        <v>0</v>
      </c>
      <c r="L41" s="38">
        <f>K41-I41</f>
        <v>0</v>
      </c>
    </row>
    <row r="42" spans="1:16" x14ac:dyDescent="0.2">
      <c r="A42" s="12" t="s">
        <v>45</v>
      </c>
      <c r="B42" s="20">
        <f t="shared" ref="B42:J42" si="17">SUM(B36:B41)</f>
        <v>62534</v>
      </c>
      <c r="C42" s="19">
        <f t="shared" si="17"/>
        <v>65114</v>
      </c>
      <c r="D42" s="20">
        <f t="shared" si="17"/>
        <v>77093</v>
      </c>
      <c r="E42" s="20">
        <f t="shared" si="17"/>
        <v>184117</v>
      </c>
      <c r="F42" s="20">
        <f t="shared" si="17"/>
        <v>77382</v>
      </c>
      <c r="G42" s="81">
        <f t="shared" si="17"/>
        <v>152907</v>
      </c>
      <c r="H42" s="20">
        <f t="shared" si="17"/>
        <v>190965.50546155495</v>
      </c>
      <c r="I42" s="156">
        <f t="shared" si="17"/>
        <v>119000</v>
      </c>
      <c r="J42" s="96">
        <f t="shared" si="17"/>
        <v>-71965.505461554945</v>
      </c>
      <c r="K42" s="58">
        <f>+SUM(K36:K41)</f>
        <v>115000</v>
      </c>
      <c r="L42" s="69">
        <f>SUM(L36:L41)</f>
        <v>-4000</v>
      </c>
      <c r="O42" s="30"/>
      <c r="P42" s="168"/>
    </row>
    <row r="43" spans="1:16" s="24" customFormat="1" x14ac:dyDescent="0.2">
      <c r="B43" s="36"/>
      <c r="C43" s="41"/>
      <c r="D43" s="36"/>
      <c r="E43" s="36"/>
      <c r="F43" s="36"/>
      <c r="G43" s="84"/>
      <c r="H43" s="36"/>
      <c r="I43" s="157"/>
      <c r="J43" s="92"/>
      <c r="K43" s="59"/>
      <c r="L43" s="21"/>
      <c r="M43" s="22"/>
      <c r="O43" s="170"/>
      <c r="P43" s="171"/>
    </row>
    <row r="44" spans="1:16" s="24" customFormat="1" hidden="1" x14ac:dyDescent="0.2">
      <c r="A44" s="12" t="s">
        <v>46</v>
      </c>
      <c r="B44" s="36"/>
      <c r="C44" s="41"/>
      <c r="D44" s="36"/>
      <c r="E44" s="36"/>
      <c r="F44" s="36"/>
      <c r="G44" s="84"/>
      <c r="H44" s="36"/>
      <c r="I44" s="157"/>
      <c r="J44" s="92"/>
      <c r="K44" s="59"/>
      <c r="L44" s="21"/>
      <c r="M44" s="22"/>
      <c r="N44" s="24">
        <v>7000</v>
      </c>
      <c r="O44" s="170"/>
      <c r="P44" s="172"/>
    </row>
    <row r="45" spans="1:16" s="24" customFormat="1" hidden="1" x14ac:dyDescent="0.2">
      <c r="B45" s="39"/>
      <c r="C45" s="42"/>
      <c r="D45" s="39"/>
      <c r="E45" s="39"/>
      <c r="F45" s="39"/>
      <c r="G45" s="85"/>
      <c r="H45" s="39"/>
      <c r="I45" s="153"/>
      <c r="J45" s="95"/>
      <c r="K45" s="55"/>
      <c r="L45" s="38"/>
      <c r="M45" s="22"/>
      <c r="N45" s="24">
        <v>1000</v>
      </c>
      <c r="O45" s="170"/>
      <c r="P45" s="172"/>
    </row>
    <row r="46" spans="1:16" s="24" customFormat="1" hidden="1" x14ac:dyDescent="0.2">
      <c r="A46" s="12" t="s">
        <v>47</v>
      </c>
      <c r="B46" s="36">
        <f>SUM(B45:B45)</f>
        <v>0</v>
      </c>
      <c r="C46" s="41">
        <f t="shared" ref="C46:J46" si="18">SUM(C45:C45)</f>
        <v>0</v>
      </c>
      <c r="D46" s="36">
        <f t="shared" si="18"/>
        <v>0</v>
      </c>
      <c r="E46" s="36">
        <f t="shared" si="18"/>
        <v>0</v>
      </c>
      <c r="F46" s="36"/>
      <c r="G46" s="84">
        <f>SUM(G45:G45)</f>
        <v>0</v>
      </c>
      <c r="H46" s="36"/>
      <c r="I46" s="158">
        <f>SUM(I45:I45)</f>
        <v>0</v>
      </c>
      <c r="J46" s="98">
        <f t="shared" si="18"/>
        <v>0</v>
      </c>
      <c r="K46" s="60">
        <f>SUM(K45:K45)</f>
        <v>0</v>
      </c>
      <c r="L46" s="41">
        <f t="shared" ref="L46" si="19">SUM(L45:L45)</f>
        <v>0</v>
      </c>
      <c r="M46" s="22"/>
      <c r="O46" s="170"/>
      <c r="P46" s="172"/>
    </row>
    <row r="47" spans="1:16" hidden="1" x14ac:dyDescent="0.2">
      <c r="B47" s="28"/>
      <c r="C47" s="27"/>
      <c r="D47" s="28"/>
      <c r="E47" s="28"/>
      <c r="F47" s="28"/>
      <c r="G47" s="82"/>
      <c r="H47" s="28"/>
      <c r="I47" s="159"/>
      <c r="J47" s="95"/>
      <c r="K47" s="61"/>
      <c r="L47" s="38"/>
      <c r="M47" s="29"/>
      <c r="O47" s="30"/>
      <c r="P47" s="26"/>
    </row>
    <row r="48" spans="1:16" x14ac:dyDescent="0.2">
      <c r="A48" s="12" t="s">
        <v>48</v>
      </c>
      <c r="B48" s="20">
        <f ca="1">SUM(B23+B33+B42+B46)</f>
        <v>229402</v>
      </c>
      <c r="C48" s="19">
        <f ca="1">SUM(C23+C33+C42+C46)</f>
        <v>237159</v>
      </c>
      <c r="D48" s="20">
        <f ca="1">SUM(D23+D33+D42+D46)</f>
        <v>255303</v>
      </c>
      <c r="E48" s="20">
        <f ca="1">SUM(E23+E33+E42+E46)</f>
        <v>353497</v>
      </c>
      <c r="F48" s="20">
        <f>SUM(F23+F33+F42)</f>
        <v>269230</v>
      </c>
      <c r="G48" s="84">
        <f>SUM(G23+G33+G42+G46)</f>
        <v>319973</v>
      </c>
      <c r="H48" s="36">
        <f>H23+H33+H42</f>
        <v>454581.91775540798</v>
      </c>
      <c r="I48" s="153">
        <f>SUM(I23+I33+I42+I46)</f>
        <v>328355</v>
      </c>
      <c r="J48" s="96">
        <f ca="1">SUM(J23+J33+J42+J46)</f>
        <v>-113299.70036410367</v>
      </c>
      <c r="K48" s="55">
        <f>SUM(K23+K33+K42+K46)</f>
        <v>378822</v>
      </c>
      <c r="L48" s="19">
        <f>SUM(L23+L33+L42)</f>
        <v>50467</v>
      </c>
      <c r="N48" s="177"/>
      <c r="O48" s="30"/>
      <c r="P48" s="145"/>
    </row>
    <row r="49" spans="1:16" x14ac:dyDescent="0.2">
      <c r="B49" s="28"/>
      <c r="C49" s="27"/>
      <c r="D49" s="28"/>
      <c r="E49" s="28"/>
      <c r="F49" s="28"/>
      <c r="G49" s="82"/>
      <c r="H49" s="28"/>
      <c r="I49" s="159"/>
      <c r="J49" s="95"/>
      <c r="K49" s="61"/>
      <c r="L49" s="38"/>
      <c r="M49" s="29"/>
      <c r="N49" s="37">
        <f>N48/12/84</f>
        <v>0</v>
      </c>
    </row>
    <row r="50" spans="1:16" x14ac:dyDescent="0.2">
      <c r="A50" s="12" t="s">
        <v>49</v>
      </c>
      <c r="B50" s="20">
        <f ca="1">SUM(B10-B48)</f>
        <v>93114</v>
      </c>
      <c r="C50" s="19">
        <f ca="1">SUM(C10-C48)</f>
        <v>85448</v>
      </c>
      <c r="D50" s="20">
        <f ca="1">SUM(D10-D48)</f>
        <v>60846</v>
      </c>
      <c r="E50" s="20">
        <f ca="1">SUM(E10-E48)</f>
        <v>30395</v>
      </c>
      <c r="F50" s="20">
        <f>F10-F48</f>
        <v>56204</v>
      </c>
      <c r="G50" s="81">
        <f>SUM(G10-G48)</f>
        <v>-72956</v>
      </c>
      <c r="H50" s="20">
        <f>H10-H48</f>
        <v>-49358.177125722868</v>
      </c>
      <c r="I50" s="153">
        <f>SUM(I10-I48)</f>
        <v>0</v>
      </c>
      <c r="J50" s="96">
        <f ca="1">SUM(J10+J48)</f>
        <v>-36430.959734418517</v>
      </c>
      <c r="K50" s="55">
        <f>SUM(K10-K48)</f>
        <v>0</v>
      </c>
      <c r="L50" s="19">
        <f>SUM(L10+L48)</f>
        <v>0</v>
      </c>
      <c r="N50" t="s">
        <v>207</v>
      </c>
    </row>
    <row r="51" spans="1:16" x14ac:dyDescent="0.2">
      <c r="A51" s="12"/>
      <c r="B51" s="20"/>
      <c r="C51" s="19"/>
      <c r="D51" s="20"/>
      <c r="E51" s="20"/>
      <c r="F51" s="20"/>
      <c r="G51" s="81">
        <f>SUM(G11-G49)</f>
        <v>0</v>
      </c>
      <c r="H51" s="20"/>
      <c r="I51" s="153"/>
      <c r="J51" s="96"/>
      <c r="K51" s="55"/>
      <c r="L51" s="19"/>
    </row>
    <row r="52" spans="1:16" x14ac:dyDescent="0.2">
      <c r="A52" s="72"/>
      <c r="B52" s="20"/>
      <c r="C52" s="19"/>
      <c r="D52" s="20"/>
      <c r="E52" s="20"/>
      <c r="F52" s="20"/>
      <c r="G52" s="81"/>
      <c r="H52" s="20"/>
      <c r="I52" s="153"/>
      <c r="J52" s="96"/>
      <c r="K52" s="55"/>
      <c r="L52" s="19"/>
    </row>
    <row r="53" spans="1:16" x14ac:dyDescent="0.2">
      <c r="A53" s="72" t="s">
        <v>50</v>
      </c>
      <c r="D53" s="14">
        <v>16537</v>
      </c>
      <c r="E53" s="14">
        <v>1400</v>
      </c>
      <c r="G53" s="81"/>
      <c r="H53" s="81"/>
      <c r="I53" s="152">
        <v>0</v>
      </c>
      <c r="J53" s="99">
        <f t="shared" ref="J53" si="20">I53-H53</f>
        <v>0</v>
      </c>
      <c r="K53" s="54">
        <v>0</v>
      </c>
      <c r="L53" s="21">
        <f t="shared" ref="L53" si="21">K53-I53</f>
        <v>0</v>
      </c>
      <c r="N53" s="64" t="s">
        <v>51</v>
      </c>
    </row>
    <row r="54" spans="1:16" x14ac:dyDescent="0.2">
      <c r="G54" s="81">
        <f>G50+G53</f>
        <v>-72956</v>
      </c>
      <c r="H54" s="81">
        <f>H50+H53</f>
        <v>-49358.177125722868</v>
      </c>
      <c r="I54" s="153"/>
      <c r="J54" s="92"/>
      <c r="K54" s="55"/>
      <c r="L54" s="21"/>
    </row>
    <row r="55" spans="1:16" x14ac:dyDescent="0.2">
      <c r="A55" s="12" t="s">
        <v>79</v>
      </c>
      <c r="G55" s="81"/>
      <c r="J55" s="91"/>
      <c r="K55" s="54"/>
    </row>
    <row r="56" spans="1:16" x14ac:dyDescent="0.2">
      <c r="A56" s="24" t="s">
        <v>52</v>
      </c>
      <c r="C56" s="13">
        <v>132650</v>
      </c>
      <c r="D56" s="14">
        <v>154970</v>
      </c>
      <c r="E56" s="14">
        <v>160050</v>
      </c>
      <c r="F56" s="14">
        <v>160050</v>
      </c>
      <c r="G56" s="81">
        <v>115237</v>
      </c>
      <c r="H56" s="111">
        <f>172885</f>
        <v>172885</v>
      </c>
      <c r="I56" s="152">
        <v>172855</v>
      </c>
      <c r="J56" s="100">
        <f>H56-I56</f>
        <v>30</v>
      </c>
      <c r="K56" s="54">
        <f>T7</f>
        <v>171748</v>
      </c>
      <c r="L56" s="49">
        <f>K56-I56</f>
        <v>-1107</v>
      </c>
      <c r="N56" s="24" t="s">
        <v>217</v>
      </c>
      <c r="P56" s="37">
        <f>O56/12</f>
        <v>0</v>
      </c>
    </row>
    <row r="57" spans="1:16" x14ac:dyDescent="0.2">
      <c r="A57" s="24" t="s">
        <v>53</v>
      </c>
      <c r="G57" s="81"/>
      <c r="I57" s="160">
        <v>0</v>
      </c>
      <c r="J57" s="100">
        <f t="shared" ref="J57:J64" si="22">H57-I57</f>
        <v>0</v>
      </c>
      <c r="K57" s="70">
        <v>0</v>
      </c>
      <c r="L57" s="49">
        <f t="shared" ref="L57:L64" si="23">I57-K57</f>
        <v>0</v>
      </c>
      <c r="N57" s="24" t="s">
        <v>208</v>
      </c>
    </row>
    <row r="58" spans="1:16" x14ac:dyDescent="0.2">
      <c r="A58" s="24" t="s">
        <v>54</v>
      </c>
      <c r="G58" s="81"/>
      <c r="I58" s="152">
        <v>0</v>
      </c>
      <c r="J58" s="100">
        <f t="shared" si="22"/>
        <v>0</v>
      </c>
      <c r="K58" s="54">
        <v>0</v>
      </c>
      <c r="L58" s="49">
        <f t="shared" si="23"/>
        <v>0</v>
      </c>
      <c r="N58" s="24"/>
    </row>
    <row r="59" spans="1:16" x14ac:dyDescent="0.2">
      <c r="A59" s="24" t="s">
        <v>191</v>
      </c>
      <c r="G59" s="81"/>
      <c r="J59" s="100"/>
      <c r="K59" s="54">
        <v>0</v>
      </c>
      <c r="L59" s="49">
        <f t="shared" si="23"/>
        <v>0</v>
      </c>
      <c r="N59" s="24"/>
    </row>
    <row r="60" spans="1:16" x14ac:dyDescent="0.2">
      <c r="A60" s="24" t="s">
        <v>174</v>
      </c>
      <c r="G60" s="81"/>
      <c r="J60" s="100"/>
      <c r="K60" s="54"/>
      <c r="L60" s="49">
        <f t="shared" si="23"/>
        <v>0</v>
      </c>
      <c r="N60" s="24"/>
    </row>
    <row r="61" spans="1:16" x14ac:dyDescent="0.2">
      <c r="A61" s="24" t="s">
        <v>93</v>
      </c>
      <c r="G61" s="81"/>
      <c r="I61" s="152">
        <v>0</v>
      </c>
      <c r="J61" s="100"/>
      <c r="K61" s="54"/>
      <c r="L61" s="49">
        <f t="shared" si="23"/>
        <v>0</v>
      </c>
      <c r="N61" s="24"/>
    </row>
    <row r="62" spans="1:16" x14ac:dyDescent="0.2">
      <c r="A62" s="24" t="s">
        <v>91</v>
      </c>
      <c r="G62" s="81"/>
      <c r="J62" s="100"/>
      <c r="K62" s="54"/>
      <c r="L62" s="49">
        <f t="shared" si="23"/>
        <v>0</v>
      </c>
      <c r="N62" s="24"/>
    </row>
    <row r="63" spans="1:16" x14ac:dyDescent="0.2">
      <c r="A63" s="43" t="s">
        <v>55</v>
      </c>
      <c r="G63" s="81"/>
      <c r="I63" s="152">
        <v>0</v>
      </c>
      <c r="J63" s="99">
        <f t="shared" si="22"/>
        <v>0</v>
      </c>
      <c r="K63" s="54">
        <v>0</v>
      </c>
      <c r="L63" s="49">
        <f t="shared" si="23"/>
        <v>0</v>
      </c>
      <c r="N63" s="105" t="s">
        <v>77</v>
      </c>
    </row>
    <row r="64" spans="1:16" x14ac:dyDescent="0.2">
      <c r="A64" s="43" t="s">
        <v>56</v>
      </c>
      <c r="D64" s="106">
        <f>42000+25000</f>
        <v>67000</v>
      </c>
      <c r="E64" s="13"/>
      <c r="F64" s="13"/>
      <c r="G64" s="81"/>
      <c r="H64" s="149"/>
      <c r="I64" s="152">
        <v>0</v>
      </c>
      <c r="J64" s="146">
        <f t="shared" si="22"/>
        <v>0</v>
      </c>
      <c r="K64" s="54">
        <v>0</v>
      </c>
      <c r="L64" s="49">
        <f t="shared" si="23"/>
        <v>0</v>
      </c>
      <c r="N64" s="105" t="s">
        <v>87</v>
      </c>
    </row>
    <row r="65" spans="1:14" x14ac:dyDescent="0.2">
      <c r="A65" s="43"/>
      <c r="B65" s="44"/>
      <c r="C65" s="45">
        <f>SUM(C55:C64)</f>
        <v>132650</v>
      </c>
      <c r="D65" s="45">
        <f>SUM(D55:D64)</f>
        <v>221970</v>
      </c>
      <c r="E65" s="45">
        <f>SUM(E55:E64)</f>
        <v>160050</v>
      </c>
      <c r="F65" s="45">
        <f>SUM(F56:F64)</f>
        <v>160050</v>
      </c>
      <c r="G65" s="86">
        <f>SUM(G55:G64)</f>
        <v>115237</v>
      </c>
      <c r="H65" s="14">
        <f>SUM(H56:H64)</f>
        <v>172885</v>
      </c>
      <c r="I65" s="161">
        <f>SUM(I55:I64)</f>
        <v>172855</v>
      </c>
      <c r="J65" s="101">
        <f>SUM(J56:J64)</f>
        <v>30</v>
      </c>
      <c r="K65" s="62">
        <f>SUM(K55:K64)</f>
        <v>171748</v>
      </c>
      <c r="L65" s="71">
        <f>SUM(L56:L64)</f>
        <v>-1107</v>
      </c>
    </row>
    <row r="66" spans="1:14" x14ac:dyDescent="0.2">
      <c r="A66" s="46" t="s">
        <v>88</v>
      </c>
      <c r="G66" s="80"/>
      <c r="J66" s="91"/>
      <c r="K66" s="54"/>
    </row>
    <row r="67" spans="1:14" x14ac:dyDescent="0.2">
      <c r="A67" s="43" t="s">
        <v>80</v>
      </c>
      <c r="C67" s="13">
        <v>2575</v>
      </c>
      <c r="F67" s="14">
        <v>3075</v>
      </c>
      <c r="G67" s="14">
        <v>0</v>
      </c>
      <c r="H67" s="14">
        <v>0</v>
      </c>
      <c r="I67" s="162">
        <v>0</v>
      </c>
      <c r="J67" s="102">
        <f t="shared" ref="J67:J105" si="24">I67-H67</f>
        <v>0</v>
      </c>
      <c r="K67" s="54">
        <v>0</v>
      </c>
      <c r="L67" s="67">
        <f t="shared" ref="L67:L82" si="25">K67-I67</f>
        <v>0</v>
      </c>
      <c r="N67" s="64" t="s">
        <v>92</v>
      </c>
    </row>
    <row r="68" spans="1:14" x14ac:dyDescent="0.2">
      <c r="A68" s="43" t="s">
        <v>58</v>
      </c>
      <c r="F68" s="14">
        <v>2220</v>
      </c>
      <c r="G68" s="80">
        <v>0</v>
      </c>
      <c r="H68" s="14">
        <v>0</v>
      </c>
      <c r="I68" s="162">
        <v>0</v>
      </c>
      <c r="J68" s="102">
        <f t="shared" ref="J68:J77" si="26">I68-H68</f>
        <v>0</v>
      </c>
      <c r="K68" s="54">
        <v>0</v>
      </c>
      <c r="L68" s="67">
        <f t="shared" si="25"/>
        <v>0</v>
      </c>
      <c r="N68" s="65" t="s">
        <v>186</v>
      </c>
    </row>
    <row r="69" spans="1:14" x14ac:dyDescent="0.2">
      <c r="A69" s="43" t="s">
        <v>100</v>
      </c>
      <c r="G69" s="80">
        <v>0</v>
      </c>
      <c r="H69" s="14">
        <v>0</v>
      </c>
      <c r="I69" s="162"/>
      <c r="J69" s="102">
        <f t="shared" si="26"/>
        <v>0</v>
      </c>
      <c r="K69" s="54">
        <v>13936</v>
      </c>
      <c r="L69" s="67">
        <f t="shared" si="25"/>
        <v>13936</v>
      </c>
      <c r="N69" s="64" t="s">
        <v>209</v>
      </c>
    </row>
    <row r="70" spans="1:14" ht="15" customHeight="1" x14ac:dyDescent="0.2">
      <c r="A70" s="43" t="s">
        <v>137</v>
      </c>
      <c r="G70" s="80">
        <v>0</v>
      </c>
      <c r="H70" s="14">
        <v>0</v>
      </c>
      <c r="I70" s="162"/>
      <c r="J70" s="102">
        <f t="shared" si="26"/>
        <v>0</v>
      </c>
      <c r="K70" s="74">
        <v>0</v>
      </c>
      <c r="L70" s="67">
        <f t="shared" si="25"/>
        <v>0</v>
      </c>
      <c r="N70" s="65" t="s">
        <v>210</v>
      </c>
    </row>
    <row r="71" spans="1:14" x14ac:dyDescent="0.2">
      <c r="A71" s="43" t="s">
        <v>101</v>
      </c>
      <c r="F71" s="14">
        <f>32000+17500</f>
        <v>49500</v>
      </c>
      <c r="G71" s="80">
        <v>0</v>
      </c>
      <c r="H71" s="14">
        <v>0</v>
      </c>
      <c r="I71" s="162"/>
      <c r="J71" s="102">
        <f t="shared" si="26"/>
        <v>0</v>
      </c>
      <c r="K71" s="74">
        <v>0</v>
      </c>
      <c r="L71" s="67">
        <f t="shared" si="25"/>
        <v>0</v>
      </c>
      <c r="N71" s="64" t="s">
        <v>187</v>
      </c>
    </row>
    <row r="72" spans="1:14" x14ac:dyDescent="0.2">
      <c r="A72" s="43" t="s">
        <v>102</v>
      </c>
      <c r="G72" s="142">
        <v>47500</v>
      </c>
      <c r="H72" s="14">
        <f>G72</f>
        <v>47500</v>
      </c>
      <c r="I72" s="162">
        <v>44000</v>
      </c>
      <c r="J72" s="102">
        <f t="shared" si="26"/>
        <v>-3500</v>
      </c>
      <c r="K72" s="54">
        <v>0</v>
      </c>
      <c r="L72" s="67">
        <f t="shared" si="25"/>
        <v>-44000</v>
      </c>
      <c r="N72" s="65" t="s">
        <v>188</v>
      </c>
    </row>
    <row r="73" spans="1:14" x14ac:dyDescent="0.2">
      <c r="A73" s="43" t="s">
        <v>103</v>
      </c>
      <c r="G73" s="80">
        <v>0</v>
      </c>
      <c r="H73" s="14">
        <v>0</v>
      </c>
      <c r="I73" s="162"/>
      <c r="J73" s="102">
        <f t="shared" si="26"/>
        <v>0</v>
      </c>
      <c r="K73" s="54">
        <v>33990</v>
      </c>
      <c r="L73" s="67">
        <f t="shared" si="25"/>
        <v>33990</v>
      </c>
      <c r="N73" s="64" t="s">
        <v>104</v>
      </c>
    </row>
    <row r="74" spans="1:14" x14ac:dyDescent="0.2">
      <c r="A74" s="43" t="s">
        <v>57</v>
      </c>
      <c r="G74" s="80">
        <v>0</v>
      </c>
      <c r="H74" s="14">
        <v>0</v>
      </c>
      <c r="I74" s="162">
        <v>9000</v>
      </c>
      <c r="J74" s="102">
        <f t="shared" si="26"/>
        <v>9000</v>
      </c>
      <c r="K74" s="54">
        <v>9270</v>
      </c>
      <c r="L74" s="67">
        <f t="shared" si="25"/>
        <v>270</v>
      </c>
      <c r="N74" s="64" t="s">
        <v>129</v>
      </c>
    </row>
    <row r="75" spans="1:14" ht="24" x14ac:dyDescent="0.2">
      <c r="A75" s="43" t="s">
        <v>96</v>
      </c>
      <c r="C75" s="13">
        <v>186503</v>
      </c>
      <c r="D75" s="14">
        <v>194478</v>
      </c>
      <c r="E75" s="14">
        <v>6300</v>
      </c>
      <c r="F75" s="14">
        <v>6300</v>
      </c>
      <c r="G75" s="80">
        <v>0</v>
      </c>
      <c r="H75" s="14">
        <v>0</v>
      </c>
      <c r="I75" s="162">
        <v>0</v>
      </c>
      <c r="J75" s="102">
        <f t="shared" si="26"/>
        <v>0</v>
      </c>
      <c r="K75" s="54">
        <v>10073</v>
      </c>
      <c r="L75" s="67">
        <f t="shared" si="25"/>
        <v>10073</v>
      </c>
      <c r="N75" s="65" t="s">
        <v>81</v>
      </c>
    </row>
    <row r="76" spans="1:14" x14ac:dyDescent="0.2">
      <c r="A76" s="43" t="s">
        <v>84</v>
      </c>
      <c r="C76" s="13">
        <v>26020</v>
      </c>
      <c r="F76" s="14">
        <v>27913</v>
      </c>
      <c r="G76" s="80">
        <v>0</v>
      </c>
      <c r="H76" s="14">
        <v>0</v>
      </c>
      <c r="I76" s="162">
        <v>0</v>
      </c>
      <c r="J76" s="102">
        <f t="shared" si="26"/>
        <v>0</v>
      </c>
      <c r="K76" s="75">
        <v>0</v>
      </c>
      <c r="L76" s="67">
        <f t="shared" si="25"/>
        <v>0</v>
      </c>
      <c r="N76" s="64" t="s">
        <v>83</v>
      </c>
    </row>
    <row r="77" spans="1:14" x14ac:dyDescent="0.2">
      <c r="A77" s="43" t="s">
        <v>189</v>
      </c>
      <c r="G77" s="80">
        <v>0</v>
      </c>
      <c r="H77" s="14">
        <v>0</v>
      </c>
      <c r="I77" s="162">
        <v>0</v>
      </c>
      <c r="J77" s="102">
        <f t="shared" si="26"/>
        <v>0</v>
      </c>
      <c r="K77" s="75"/>
      <c r="L77" s="67"/>
      <c r="N77" s="64"/>
    </row>
    <row r="78" spans="1:14" ht="15" customHeight="1" x14ac:dyDescent="0.2">
      <c r="A78" s="43" t="s">
        <v>190</v>
      </c>
      <c r="F78" s="14">
        <v>6651</v>
      </c>
      <c r="G78" s="80">
        <v>0</v>
      </c>
      <c r="H78" s="14">
        <v>0</v>
      </c>
      <c r="I78" s="162">
        <v>0</v>
      </c>
      <c r="J78" s="102">
        <f t="shared" ref="J78:J83" si="27">I78-H78</f>
        <v>0</v>
      </c>
      <c r="K78" s="74">
        <v>0</v>
      </c>
      <c r="L78" s="67">
        <f t="shared" si="25"/>
        <v>0</v>
      </c>
      <c r="N78" s="65" t="s">
        <v>139</v>
      </c>
    </row>
    <row r="79" spans="1:14" x14ac:dyDescent="0.2">
      <c r="A79" s="43" t="s">
        <v>86</v>
      </c>
      <c r="C79" s="13">
        <v>8234</v>
      </c>
      <c r="F79" s="14">
        <v>10600</v>
      </c>
      <c r="G79" s="80">
        <v>0</v>
      </c>
      <c r="H79" s="14">
        <v>0</v>
      </c>
      <c r="I79" s="162">
        <v>0</v>
      </c>
      <c r="J79" s="102">
        <f t="shared" si="27"/>
        <v>0</v>
      </c>
      <c r="K79" s="75">
        <v>0</v>
      </c>
      <c r="L79" s="67">
        <f t="shared" si="25"/>
        <v>0</v>
      </c>
      <c r="N79" s="64" t="s">
        <v>85</v>
      </c>
    </row>
    <row r="80" spans="1:14" x14ac:dyDescent="0.2">
      <c r="A80" s="43" t="s">
        <v>107</v>
      </c>
      <c r="G80" s="80">
        <v>0</v>
      </c>
      <c r="H80" s="14">
        <v>0</v>
      </c>
      <c r="I80" s="162">
        <v>0</v>
      </c>
      <c r="J80" s="102">
        <f t="shared" si="27"/>
        <v>0</v>
      </c>
      <c r="K80" s="75">
        <v>0</v>
      </c>
      <c r="L80" s="67">
        <f t="shared" si="25"/>
        <v>0</v>
      </c>
      <c r="N80" s="64" t="s">
        <v>110</v>
      </c>
    </row>
    <row r="81" spans="1:14" x14ac:dyDescent="0.2">
      <c r="A81" s="43" t="s">
        <v>112</v>
      </c>
      <c r="G81" s="80">
        <v>0</v>
      </c>
      <c r="H81" s="14">
        <v>0</v>
      </c>
      <c r="I81" s="162">
        <v>0</v>
      </c>
      <c r="J81" s="102">
        <f t="shared" si="27"/>
        <v>0</v>
      </c>
      <c r="K81" s="74">
        <v>0</v>
      </c>
      <c r="L81" s="67">
        <f t="shared" si="25"/>
        <v>0</v>
      </c>
      <c r="N81" s="64" t="s">
        <v>205</v>
      </c>
    </row>
    <row r="82" spans="1:14" x14ac:dyDescent="0.2">
      <c r="A82" s="43" t="s">
        <v>132</v>
      </c>
      <c r="G82" s="80">
        <v>0</v>
      </c>
      <c r="H82" s="14">
        <v>0</v>
      </c>
      <c r="I82" s="162">
        <v>0</v>
      </c>
      <c r="J82" s="102">
        <f t="shared" si="27"/>
        <v>0</v>
      </c>
      <c r="K82" s="74">
        <v>0</v>
      </c>
      <c r="L82" s="67">
        <f t="shared" si="25"/>
        <v>0</v>
      </c>
      <c r="N82" s="64" t="s">
        <v>133</v>
      </c>
    </row>
    <row r="83" spans="1:14" x14ac:dyDescent="0.2">
      <c r="A83" s="43" t="s">
        <v>105</v>
      </c>
      <c r="G83" s="80">
        <v>0</v>
      </c>
      <c r="H83" s="14">
        <v>0</v>
      </c>
      <c r="I83" s="162">
        <v>2000</v>
      </c>
      <c r="J83" s="102">
        <f t="shared" si="27"/>
        <v>2000</v>
      </c>
      <c r="K83" s="74">
        <v>2000</v>
      </c>
      <c r="L83" s="67">
        <f t="shared" ref="L83:L89" si="28">K83-I83</f>
        <v>0</v>
      </c>
      <c r="N83" s="64" t="s">
        <v>211</v>
      </c>
    </row>
    <row r="84" spans="1:14" x14ac:dyDescent="0.2">
      <c r="A84" s="43" t="s">
        <v>113</v>
      </c>
      <c r="G84" s="80">
        <v>0</v>
      </c>
      <c r="H84" s="14">
        <v>0</v>
      </c>
      <c r="I84" s="162">
        <v>0</v>
      </c>
      <c r="J84" s="102">
        <f t="shared" ref="J84:J89" si="29">I84-H84</f>
        <v>0</v>
      </c>
      <c r="K84" s="74">
        <v>0</v>
      </c>
      <c r="L84" s="67">
        <f t="shared" si="28"/>
        <v>0</v>
      </c>
      <c r="N84" s="64" t="s">
        <v>114</v>
      </c>
    </row>
    <row r="85" spans="1:14" x14ac:dyDescent="0.2">
      <c r="A85" s="43" t="s">
        <v>106</v>
      </c>
      <c r="G85" s="80">
        <v>0</v>
      </c>
      <c r="H85" s="14">
        <v>0</v>
      </c>
      <c r="I85" s="162">
        <v>8600</v>
      </c>
      <c r="J85" s="102">
        <f t="shared" si="29"/>
        <v>8600</v>
      </c>
      <c r="K85" s="75">
        <v>8600</v>
      </c>
      <c r="L85" s="67">
        <f t="shared" si="28"/>
        <v>0</v>
      </c>
      <c r="N85" s="64" t="s">
        <v>212</v>
      </c>
    </row>
    <row r="86" spans="1:14" x14ac:dyDescent="0.2">
      <c r="A86" s="43" t="s">
        <v>108</v>
      </c>
      <c r="G86" s="80">
        <v>2375</v>
      </c>
      <c r="H86" s="14">
        <v>2375</v>
      </c>
      <c r="I86" s="162">
        <v>5000</v>
      </c>
      <c r="J86" s="102">
        <f t="shared" si="29"/>
        <v>2625</v>
      </c>
      <c r="K86" s="75">
        <v>0</v>
      </c>
      <c r="L86" s="67">
        <f t="shared" si="28"/>
        <v>-5000</v>
      </c>
      <c r="N86" s="64" t="s">
        <v>111</v>
      </c>
    </row>
    <row r="87" spans="1:14" x14ac:dyDescent="0.2">
      <c r="A87" s="43" t="s">
        <v>115</v>
      </c>
      <c r="G87" s="80">
        <v>0</v>
      </c>
      <c r="H87" s="14">
        <v>0</v>
      </c>
      <c r="I87" s="162">
        <v>0</v>
      </c>
      <c r="J87" s="102">
        <f t="shared" si="29"/>
        <v>0</v>
      </c>
      <c r="K87" s="74">
        <v>0</v>
      </c>
      <c r="L87" s="67">
        <f t="shared" si="28"/>
        <v>0</v>
      </c>
      <c r="N87" s="64" t="s">
        <v>117</v>
      </c>
    </row>
    <row r="88" spans="1:14" x14ac:dyDescent="0.2">
      <c r="A88" s="43" t="s">
        <v>116</v>
      </c>
      <c r="G88" s="80">
        <v>0</v>
      </c>
      <c r="H88" s="14">
        <v>0</v>
      </c>
      <c r="I88" s="162">
        <v>0</v>
      </c>
      <c r="J88" s="102">
        <f t="shared" si="29"/>
        <v>0</v>
      </c>
      <c r="K88" s="74">
        <v>0</v>
      </c>
      <c r="L88" s="67">
        <f t="shared" si="28"/>
        <v>0</v>
      </c>
      <c r="N88" s="64"/>
    </row>
    <row r="89" spans="1:14" x14ac:dyDescent="0.2">
      <c r="A89" s="43" t="s">
        <v>94</v>
      </c>
      <c r="G89" s="80">
        <v>0</v>
      </c>
      <c r="H89" s="14">
        <v>0</v>
      </c>
      <c r="I89" s="162">
        <v>60000</v>
      </c>
      <c r="J89" s="102">
        <f t="shared" si="29"/>
        <v>60000</v>
      </c>
      <c r="K89" s="74">
        <v>60000</v>
      </c>
      <c r="L89" s="67">
        <f t="shared" si="28"/>
        <v>0</v>
      </c>
      <c r="N89" s="64" t="s">
        <v>109</v>
      </c>
    </row>
    <row r="90" spans="1:14" x14ac:dyDescent="0.2">
      <c r="A90" s="47" t="s">
        <v>120</v>
      </c>
      <c r="C90" s="22"/>
      <c r="G90" s="80">
        <v>0</v>
      </c>
      <c r="H90" s="111">
        <v>0</v>
      </c>
      <c r="I90" s="163">
        <v>5500</v>
      </c>
      <c r="J90" s="102">
        <f t="shared" si="24"/>
        <v>5500</v>
      </c>
      <c r="K90" s="74">
        <v>0</v>
      </c>
      <c r="L90" s="67">
        <f t="shared" ref="L90:L105" si="30">K90-I90</f>
        <v>-5500</v>
      </c>
      <c r="N90" s="65"/>
    </row>
    <row r="91" spans="1:14" x14ac:dyDescent="0.2">
      <c r="A91" s="47" t="s">
        <v>121</v>
      </c>
      <c r="C91" s="22">
        <f>1040+2845</f>
        <v>3885</v>
      </c>
      <c r="E91" s="14">
        <v>484</v>
      </c>
      <c r="G91" s="80">
        <v>0</v>
      </c>
      <c r="H91" s="111">
        <v>0</v>
      </c>
      <c r="I91" s="163">
        <v>0</v>
      </c>
      <c r="J91" s="102">
        <f t="shared" si="24"/>
        <v>0</v>
      </c>
      <c r="K91" s="74">
        <v>0</v>
      </c>
      <c r="L91" s="67">
        <f t="shared" si="30"/>
        <v>0</v>
      </c>
      <c r="N91" s="65" t="s">
        <v>119</v>
      </c>
    </row>
    <row r="92" spans="1:14" x14ac:dyDescent="0.2">
      <c r="A92" s="47" t="s">
        <v>122</v>
      </c>
      <c r="C92" s="22"/>
      <c r="G92" s="80">
        <v>1090</v>
      </c>
      <c r="H92" s="111">
        <v>1090</v>
      </c>
      <c r="I92" s="163">
        <v>3000</v>
      </c>
      <c r="J92" s="102">
        <f t="shared" si="24"/>
        <v>1910</v>
      </c>
      <c r="K92" s="74">
        <v>0</v>
      </c>
      <c r="L92" s="67">
        <f t="shared" si="30"/>
        <v>-3000</v>
      </c>
      <c r="N92" s="65"/>
    </row>
    <row r="93" spans="1:14" x14ac:dyDescent="0.2">
      <c r="A93" s="47" t="s">
        <v>123</v>
      </c>
      <c r="C93" s="22"/>
      <c r="G93" s="80">
        <v>38967</v>
      </c>
      <c r="H93" s="111">
        <v>38967</v>
      </c>
      <c r="I93" s="163">
        <v>20000</v>
      </c>
      <c r="J93" s="102">
        <f t="shared" si="24"/>
        <v>-18967</v>
      </c>
      <c r="K93" s="74">
        <v>0</v>
      </c>
      <c r="L93" s="67">
        <f t="shared" si="30"/>
        <v>-20000</v>
      </c>
      <c r="N93" s="65"/>
    </row>
    <row r="94" spans="1:14" x14ac:dyDescent="0.2">
      <c r="A94" s="47" t="s">
        <v>124</v>
      </c>
      <c r="C94" s="22"/>
      <c r="G94" s="80">
        <v>1241</v>
      </c>
      <c r="H94" s="111">
        <v>1241</v>
      </c>
      <c r="I94" s="163">
        <v>3000</v>
      </c>
      <c r="J94" s="102">
        <f t="shared" si="24"/>
        <v>1759</v>
      </c>
      <c r="K94" s="74">
        <v>0</v>
      </c>
      <c r="L94" s="67">
        <f t="shared" si="30"/>
        <v>-3000</v>
      </c>
      <c r="N94" s="65"/>
    </row>
    <row r="95" spans="1:14" x14ac:dyDescent="0.2">
      <c r="A95" s="47" t="s">
        <v>125</v>
      </c>
      <c r="C95" s="22">
        <f>1040+2845</f>
        <v>3885</v>
      </c>
      <c r="E95" s="14">
        <v>484</v>
      </c>
      <c r="F95" s="14">
        <v>1222</v>
      </c>
      <c r="G95" s="80">
        <v>0</v>
      </c>
      <c r="H95" s="111"/>
      <c r="I95" s="163">
        <v>0</v>
      </c>
      <c r="J95" s="102">
        <f t="shared" si="24"/>
        <v>0</v>
      </c>
      <c r="K95" s="74">
        <v>0</v>
      </c>
      <c r="L95" s="67">
        <f t="shared" si="30"/>
        <v>0</v>
      </c>
      <c r="N95" s="65" t="s">
        <v>67</v>
      </c>
    </row>
    <row r="96" spans="1:14" x14ac:dyDescent="0.2">
      <c r="A96" s="47" t="s">
        <v>126</v>
      </c>
      <c r="C96" s="22"/>
      <c r="G96" s="80">
        <v>0</v>
      </c>
      <c r="H96" s="111">
        <v>0</v>
      </c>
      <c r="I96" s="162">
        <v>1500</v>
      </c>
      <c r="J96" s="102">
        <f t="shared" si="24"/>
        <v>1500</v>
      </c>
      <c r="K96" s="74">
        <v>0</v>
      </c>
      <c r="L96" s="67">
        <f t="shared" si="30"/>
        <v>-1500</v>
      </c>
      <c r="N96" s="65" t="s">
        <v>128</v>
      </c>
    </row>
    <row r="97" spans="1:15" x14ac:dyDescent="0.2">
      <c r="A97" s="47" t="s">
        <v>127</v>
      </c>
      <c r="C97" s="22"/>
      <c r="G97" s="80">
        <v>0</v>
      </c>
      <c r="H97" s="111">
        <v>0</v>
      </c>
      <c r="I97" s="162">
        <v>0</v>
      </c>
      <c r="J97" s="102">
        <f t="shared" si="24"/>
        <v>0</v>
      </c>
      <c r="K97" s="74">
        <v>0</v>
      </c>
      <c r="L97" s="67">
        <f t="shared" si="30"/>
        <v>0</v>
      </c>
      <c r="N97" s="65" t="s">
        <v>185</v>
      </c>
    </row>
    <row r="98" spans="1:15" ht="24" x14ac:dyDescent="0.2">
      <c r="A98" s="43" t="s">
        <v>59</v>
      </c>
      <c r="E98" s="14">
        <v>2123</v>
      </c>
      <c r="F98" s="14">
        <v>8490</v>
      </c>
      <c r="G98" s="80">
        <v>0</v>
      </c>
      <c r="H98" s="111">
        <v>0</v>
      </c>
      <c r="I98" s="162">
        <v>0</v>
      </c>
      <c r="J98" s="102">
        <f>I98-H98</f>
        <v>0</v>
      </c>
      <c r="K98" s="74">
        <v>8240</v>
      </c>
      <c r="L98" s="67">
        <f t="shared" si="30"/>
        <v>8240</v>
      </c>
      <c r="N98" s="65" t="s">
        <v>130</v>
      </c>
      <c r="O98" s="25" t="s">
        <v>89</v>
      </c>
    </row>
    <row r="99" spans="1:15" x14ac:dyDescent="0.2">
      <c r="A99" s="43" t="s">
        <v>97</v>
      </c>
      <c r="F99" s="14">
        <v>4500</v>
      </c>
      <c r="G99" s="80">
        <v>0</v>
      </c>
      <c r="H99" s="14">
        <v>0</v>
      </c>
      <c r="I99" s="162">
        <v>0</v>
      </c>
      <c r="J99" s="102">
        <f>I99-H99</f>
        <v>0</v>
      </c>
      <c r="K99" s="75">
        <v>0</v>
      </c>
      <c r="L99" s="67">
        <f t="shared" si="30"/>
        <v>0</v>
      </c>
      <c r="N99" s="64"/>
    </row>
    <row r="100" spans="1:15" x14ac:dyDescent="0.2">
      <c r="A100" s="43" t="s">
        <v>60</v>
      </c>
      <c r="G100" s="80">
        <v>0</v>
      </c>
      <c r="H100" s="14">
        <v>0</v>
      </c>
      <c r="I100" s="162">
        <v>0</v>
      </c>
      <c r="J100" s="102">
        <f t="shared" ref="J100:J103" si="31">I100-H100</f>
        <v>0</v>
      </c>
      <c r="K100" s="75">
        <v>927</v>
      </c>
      <c r="L100" s="67">
        <f t="shared" si="30"/>
        <v>927</v>
      </c>
      <c r="N100" s="64" t="s">
        <v>118</v>
      </c>
    </row>
    <row r="101" spans="1:15" ht="24" x14ac:dyDescent="0.2">
      <c r="A101" s="48" t="s">
        <v>61</v>
      </c>
      <c r="G101" s="80">
        <v>0</v>
      </c>
      <c r="H101" s="14">
        <v>0</v>
      </c>
      <c r="I101" s="162">
        <v>0</v>
      </c>
      <c r="J101" s="102">
        <f t="shared" si="31"/>
        <v>0</v>
      </c>
      <c r="K101" s="54">
        <v>0</v>
      </c>
      <c r="L101" s="67">
        <f t="shared" si="30"/>
        <v>0</v>
      </c>
      <c r="N101" s="65" t="s">
        <v>74</v>
      </c>
    </row>
    <row r="102" spans="1:15" x14ac:dyDescent="0.2">
      <c r="A102" s="43" t="s">
        <v>131</v>
      </c>
      <c r="G102" s="80">
        <v>3167</v>
      </c>
      <c r="H102" s="14">
        <v>5000</v>
      </c>
      <c r="I102" s="162">
        <v>3300</v>
      </c>
      <c r="J102" s="102">
        <f t="shared" si="31"/>
        <v>-1700</v>
      </c>
      <c r="K102" s="54">
        <v>0</v>
      </c>
      <c r="L102" s="67">
        <f t="shared" si="30"/>
        <v>-3300</v>
      </c>
      <c r="N102" s="65"/>
    </row>
    <row r="103" spans="1:15" x14ac:dyDescent="0.2">
      <c r="A103" s="43" t="s">
        <v>95</v>
      </c>
      <c r="G103" s="80">
        <v>0</v>
      </c>
      <c r="H103" s="14">
        <v>0</v>
      </c>
      <c r="I103" s="162">
        <v>25000</v>
      </c>
      <c r="J103" s="102">
        <f t="shared" si="31"/>
        <v>25000</v>
      </c>
      <c r="K103" s="54">
        <v>25000</v>
      </c>
      <c r="L103" s="67">
        <f t="shared" si="30"/>
        <v>0</v>
      </c>
      <c r="N103" s="65" t="s">
        <v>134</v>
      </c>
    </row>
    <row r="104" spans="1:15" x14ac:dyDescent="0.2">
      <c r="A104" s="43" t="s">
        <v>73</v>
      </c>
      <c r="D104" s="14">
        <v>7465</v>
      </c>
      <c r="E104" s="14">
        <v>2926</v>
      </c>
      <c r="G104" s="80">
        <v>0</v>
      </c>
      <c r="H104" s="14">
        <v>0</v>
      </c>
      <c r="I104" s="162">
        <v>0</v>
      </c>
      <c r="J104" s="102">
        <f t="shared" si="24"/>
        <v>0</v>
      </c>
      <c r="K104" s="54">
        <v>0</v>
      </c>
      <c r="L104" s="67">
        <f t="shared" si="30"/>
        <v>0</v>
      </c>
      <c r="N104" s="147" t="s">
        <v>75</v>
      </c>
    </row>
    <row r="105" spans="1:15" x14ac:dyDescent="0.2">
      <c r="A105" s="43" t="s">
        <v>62</v>
      </c>
      <c r="D105" s="14">
        <f>225249-SUM(D67:D104)</f>
        <v>23306</v>
      </c>
      <c r="E105" s="14">
        <v>0</v>
      </c>
      <c r="G105" s="80">
        <v>0</v>
      </c>
      <c r="H105" s="14">
        <v>2500</v>
      </c>
      <c r="I105" s="162">
        <v>2500</v>
      </c>
      <c r="J105" s="102">
        <f t="shared" si="24"/>
        <v>0</v>
      </c>
      <c r="K105" s="54">
        <v>2575</v>
      </c>
      <c r="L105" s="67">
        <f t="shared" si="30"/>
        <v>75</v>
      </c>
      <c r="N105" s="148" t="s">
        <v>184</v>
      </c>
    </row>
    <row r="106" spans="1:15" x14ac:dyDescent="0.2">
      <c r="B106" s="44"/>
      <c r="C106" s="66">
        <f t="shared" ref="C106:J106" si="32">SUM(C67:C105)</f>
        <v>231102</v>
      </c>
      <c r="D106" s="66">
        <f t="shared" si="32"/>
        <v>225249</v>
      </c>
      <c r="E106" s="66">
        <f t="shared" si="32"/>
        <v>12317</v>
      </c>
      <c r="F106" s="66">
        <f t="shared" si="32"/>
        <v>120471</v>
      </c>
      <c r="G106" s="87">
        <f t="shared" si="32"/>
        <v>94340</v>
      </c>
      <c r="H106" s="66">
        <f t="shared" si="32"/>
        <v>98673</v>
      </c>
      <c r="I106" s="161">
        <f t="shared" si="32"/>
        <v>192400</v>
      </c>
      <c r="J106" s="103">
        <f t="shared" si="32"/>
        <v>93727</v>
      </c>
      <c r="K106" s="62">
        <f>SUM(K66:K105)</f>
        <v>174611</v>
      </c>
      <c r="L106" s="66">
        <f>SUM(L67:L105)</f>
        <v>-17789</v>
      </c>
      <c r="N106" s="64"/>
    </row>
    <row r="107" spans="1:15" x14ac:dyDescent="0.2">
      <c r="G107" s="80"/>
      <c r="J107" s="91"/>
      <c r="K107" s="54"/>
    </row>
    <row r="108" spans="1:15" x14ac:dyDescent="0.2">
      <c r="A108" s="50" t="s">
        <v>63</v>
      </c>
      <c r="B108" s="21"/>
      <c r="C108" s="21">
        <f t="shared" ref="C108:F108" si="33">C65-C106</f>
        <v>-98452</v>
      </c>
      <c r="D108" s="21">
        <f t="shared" si="33"/>
        <v>-3279</v>
      </c>
      <c r="E108" s="21">
        <f t="shared" si="33"/>
        <v>147733</v>
      </c>
      <c r="F108" s="21">
        <f t="shared" si="33"/>
        <v>39579</v>
      </c>
      <c r="G108" s="88">
        <f>G65-G106</f>
        <v>20897</v>
      </c>
      <c r="H108" s="21">
        <f>H65-H106</f>
        <v>74212</v>
      </c>
      <c r="I108" s="153">
        <f>I65-I106</f>
        <v>-19545</v>
      </c>
      <c r="J108" s="92">
        <f>J65+J106</f>
        <v>93757</v>
      </c>
      <c r="K108" s="55">
        <f>K65-K106</f>
        <v>-2863</v>
      </c>
      <c r="L108" s="21"/>
    </row>
    <row r="109" spans="1:15" x14ac:dyDescent="0.2">
      <c r="G109" s="80"/>
      <c r="J109" s="92"/>
      <c r="K109" s="54"/>
      <c r="L109" s="21"/>
    </row>
    <row r="110" spans="1:15" x14ac:dyDescent="0.2">
      <c r="A110" s="24" t="s">
        <v>172</v>
      </c>
      <c r="D110" s="14">
        <v>119066</v>
      </c>
      <c r="E110" s="14">
        <v>266188</v>
      </c>
      <c r="F110" s="14">
        <v>305767</v>
      </c>
      <c r="G110" s="80"/>
      <c r="I110" s="164">
        <v>0</v>
      </c>
      <c r="J110" s="91"/>
      <c r="K110" s="76"/>
      <c r="N110" s="24"/>
    </row>
    <row r="111" spans="1:15" x14ac:dyDescent="0.2">
      <c r="A111" s="24" t="s">
        <v>204</v>
      </c>
      <c r="G111" s="80">
        <f>F110+G108</f>
        <v>326664</v>
      </c>
      <c r="H111" s="14">
        <f>F110+H108</f>
        <v>379979</v>
      </c>
      <c r="I111" s="164">
        <f>F110+I108</f>
        <v>286222</v>
      </c>
      <c r="J111" s="100">
        <f>H111-I111</f>
        <v>93757</v>
      </c>
      <c r="K111" s="76">
        <f>H111</f>
        <v>379979</v>
      </c>
      <c r="L111" s="49"/>
      <c r="N111" s="24"/>
    </row>
    <row r="112" spans="1:15" x14ac:dyDescent="0.2">
      <c r="A112" s="24" t="s">
        <v>176</v>
      </c>
      <c r="G112" s="80"/>
      <c r="H112" s="111"/>
      <c r="J112" s="91"/>
      <c r="K112" s="76">
        <f>K111+K108</f>
        <v>377116</v>
      </c>
      <c r="N112" s="24"/>
    </row>
    <row r="113" spans="1:14" x14ac:dyDescent="0.2">
      <c r="A113" s="24" t="s">
        <v>177</v>
      </c>
      <c r="F113" s="14">
        <v>276177</v>
      </c>
    </row>
    <row r="114" spans="1:14" x14ac:dyDescent="0.2">
      <c r="N114" s="24" t="s">
        <v>215</v>
      </c>
    </row>
    <row r="115" spans="1:14" x14ac:dyDescent="0.2">
      <c r="H115" s="16">
        <f>H48</f>
        <v>454581.91775540798</v>
      </c>
      <c r="I115" s="152">
        <f>I48</f>
        <v>328355</v>
      </c>
      <c r="K115" s="16">
        <f>K48</f>
        <v>378822</v>
      </c>
      <c r="N115" s="24" t="s">
        <v>193</v>
      </c>
    </row>
    <row r="116" spans="1:14" x14ac:dyDescent="0.2">
      <c r="H116" s="16">
        <f>H106</f>
        <v>98673</v>
      </c>
      <c r="I116" s="152">
        <f>I106</f>
        <v>192400</v>
      </c>
      <c r="K116" s="16">
        <f>K106</f>
        <v>174611</v>
      </c>
      <c r="N116" s="24" t="s">
        <v>202</v>
      </c>
    </row>
    <row r="117" spans="1:14" x14ac:dyDescent="0.2">
      <c r="G117" s="22" t="s">
        <v>67</v>
      </c>
      <c r="H117" s="16">
        <f>SUM(H115:H116)</f>
        <v>553254.91775540798</v>
      </c>
      <c r="I117" s="152">
        <f>SUM(I115:I116)</f>
        <v>520755</v>
      </c>
      <c r="K117" s="16">
        <f>SUM(K115:K116)</f>
        <v>553433</v>
      </c>
      <c r="N117" s="24" t="s">
        <v>216</v>
      </c>
    </row>
    <row r="118" spans="1:14" x14ac:dyDescent="0.2">
      <c r="H118" s="63">
        <v>0.05</v>
      </c>
      <c r="I118" s="165">
        <v>0.05</v>
      </c>
      <c r="K118" s="63">
        <v>0.03</v>
      </c>
      <c r="N118" s="24"/>
    </row>
    <row r="119" spans="1:14" x14ac:dyDescent="0.2">
      <c r="H119" s="16">
        <f>H117*H118</f>
        <v>27662.745887770401</v>
      </c>
      <c r="I119" s="152">
        <f>I117*I118</f>
        <v>26037.75</v>
      </c>
      <c r="K119" s="16">
        <f>K117*K118</f>
        <v>16602.989999999998</v>
      </c>
    </row>
    <row r="120" spans="1:14" x14ac:dyDescent="0.2">
      <c r="H120" s="16">
        <f>H119/84</f>
        <v>329.31840342583808</v>
      </c>
      <c r="I120" s="152">
        <f>I119/84</f>
        <v>309.97321428571428</v>
      </c>
      <c r="K120" s="16">
        <f>K119/84</f>
        <v>197.65464285714285</v>
      </c>
    </row>
    <row r="121" spans="1:14" x14ac:dyDescent="0.2">
      <c r="H121" s="14">
        <f>H120/12</f>
        <v>27.443200285486508</v>
      </c>
      <c r="I121" s="152">
        <f>I120/12</f>
        <v>25.83110119047619</v>
      </c>
      <c r="K121" s="16">
        <f>K120/12</f>
        <v>16.471220238095238</v>
      </c>
    </row>
    <row r="124" spans="1:14" x14ac:dyDescent="0.2">
      <c r="A124" s="24" t="s">
        <v>98</v>
      </c>
      <c r="D124" s="14">
        <v>144546</v>
      </c>
      <c r="E124" s="14">
        <v>148883</v>
      </c>
      <c r="G124" s="22" t="s">
        <v>67</v>
      </c>
      <c r="I124" s="152">
        <v>165177</v>
      </c>
      <c r="K124" s="14">
        <v>170132</v>
      </c>
      <c r="L124" s="16">
        <f>K65-K124</f>
        <v>1616</v>
      </c>
      <c r="N124" s="24" t="s">
        <v>218</v>
      </c>
    </row>
    <row r="125" spans="1:14" x14ac:dyDescent="0.2">
      <c r="A125" s="24" t="s">
        <v>136</v>
      </c>
      <c r="G125" s="22"/>
      <c r="I125" s="152">
        <v>303400</v>
      </c>
      <c r="K125" s="14">
        <v>276177</v>
      </c>
      <c r="L125" s="178">
        <f>L124/K124</f>
        <v>9.4985070415912354E-3</v>
      </c>
    </row>
    <row r="126" spans="1:14" x14ac:dyDescent="0.2">
      <c r="A126" s="24" t="s">
        <v>135</v>
      </c>
      <c r="D126" s="14">
        <v>77066</v>
      </c>
      <c r="E126" s="14">
        <v>107259</v>
      </c>
      <c r="I126" s="166">
        <v>276177</v>
      </c>
      <c r="K126" s="144">
        <v>367298</v>
      </c>
    </row>
    <row r="127" spans="1:14" ht="15.75" x14ac:dyDescent="0.25">
      <c r="A127" s="24" t="s">
        <v>99</v>
      </c>
      <c r="D127" s="14">
        <f>D110-D126</f>
        <v>42000</v>
      </c>
      <c r="E127" s="14">
        <f>E110-E126</f>
        <v>158929</v>
      </c>
      <c r="I127" s="152">
        <f>H111-I126</f>
        <v>103802</v>
      </c>
      <c r="K127" s="143">
        <f>K112-K126</f>
        <v>9818</v>
      </c>
    </row>
    <row r="246" spans="9:12" x14ac:dyDescent="0.2">
      <c r="I246" s="152">
        <v>369.55</v>
      </c>
      <c r="K246" s="16">
        <v>369.55</v>
      </c>
    </row>
    <row r="247" spans="9:12" x14ac:dyDescent="0.2">
      <c r="I247" s="152">
        <v>295</v>
      </c>
      <c r="K247" s="16">
        <v>295</v>
      </c>
    </row>
    <row r="248" spans="9:12" x14ac:dyDescent="0.2">
      <c r="I248" s="152">
        <f>I246-I247</f>
        <v>74.550000000000011</v>
      </c>
      <c r="K248" s="108">
        <f>K246-K247</f>
        <v>74.550000000000011</v>
      </c>
      <c r="L248" s="15">
        <f>K248*12</f>
        <v>894.60000000000014</v>
      </c>
    </row>
  </sheetData>
  <phoneticPr fontId="17" type="noConversion"/>
  <printOptions horizontalCentered="1"/>
  <pageMargins left="0" right="0" top="0.91" bottom="0" header="0.5" footer="0.17"/>
  <pageSetup scale="66" fitToHeight="0" orientation="landscape"/>
  <headerFooter alignWithMargins="0">
    <oddHeader>&amp;C&amp;"Arial,Bold"&amp;12Hidden Valley Village Owners Association, Inc.
Budget Worksheet for Operating Fund</oddHeader>
  </headerFooter>
  <rowBreaks count="1" manualBreakCount="1">
    <brk id="54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9273D-91E4-8947-B6F5-642D740A1369}">
  <dimension ref="A1:B2"/>
  <sheetViews>
    <sheetView workbookViewId="0">
      <selection activeCell="B2" sqref="B2"/>
    </sheetView>
  </sheetViews>
  <sheetFormatPr defaultColWidth="11.42578125" defaultRowHeight="12.75" x14ac:dyDescent="0.2"/>
  <sheetData>
    <row r="1" spans="1:2" x14ac:dyDescent="0.2">
      <c r="A1">
        <f>12400*4%</f>
        <v>496</v>
      </c>
      <c r="B1">
        <f>A1*6</f>
        <v>2976</v>
      </c>
    </row>
    <row r="2" spans="1:2" x14ac:dyDescent="0.2">
      <c r="A2">
        <v>1700</v>
      </c>
      <c r="B2">
        <f>A2/82/12</f>
        <v>1.7276422764227641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I3" sqref="I3"/>
    </sheetView>
  </sheetViews>
  <sheetFormatPr defaultColWidth="8.85546875" defaultRowHeight="12.75" x14ac:dyDescent="0.2"/>
  <cols>
    <col min="1" max="1" width="13.28515625" bestFit="1" customWidth="1"/>
  </cols>
  <sheetData>
    <row r="1" spans="1:10" x14ac:dyDescent="0.2">
      <c r="A1" s="12"/>
      <c r="B1" s="12"/>
      <c r="C1" s="12"/>
      <c r="D1" s="12"/>
      <c r="E1" s="12"/>
      <c r="F1" s="12"/>
      <c r="G1" s="12"/>
      <c r="H1" s="12"/>
      <c r="I1" s="12"/>
      <c r="J1" s="50" t="s">
        <v>64</v>
      </c>
    </row>
    <row r="2" spans="1:10" x14ac:dyDescent="0.2">
      <c r="A2" s="51" t="s">
        <v>65</v>
      </c>
      <c r="B2" s="51">
        <v>2007</v>
      </c>
      <c r="C2" s="51">
        <v>2008</v>
      </c>
      <c r="D2" s="51">
        <v>2009</v>
      </c>
      <c r="E2" s="51">
        <v>2010</v>
      </c>
      <c r="F2" s="51">
        <v>2011</v>
      </c>
      <c r="G2" s="51">
        <v>2012</v>
      </c>
      <c r="H2" s="51">
        <v>2013</v>
      </c>
      <c r="I2" s="51">
        <v>2014</v>
      </c>
      <c r="J2" s="51">
        <v>2015</v>
      </c>
    </row>
    <row r="3" spans="1:10" x14ac:dyDescent="0.2">
      <c r="A3" t="s">
        <v>66</v>
      </c>
      <c r="B3">
        <v>32</v>
      </c>
      <c r="C3">
        <v>29</v>
      </c>
      <c r="D3">
        <v>19</v>
      </c>
      <c r="E3">
        <v>31</v>
      </c>
      <c r="F3">
        <v>30</v>
      </c>
      <c r="G3">
        <v>16</v>
      </c>
      <c r="H3">
        <v>17</v>
      </c>
      <c r="I3">
        <v>14</v>
      </c>
      <c r="J3" t="s">
        <v>67</v>
      </c>
    </row>
    <row r="4" spans="1:10" x14ac:dyDescent="0.2">
      <c r="A4" t="s">
        <v>68</v>
      </c>
      <c r="B4">
        <v>3</v>
      </c>
      <c r="C4">
        <v>4</v>
      </c>
      <c r="D4">
        <v>9</v>
      </c>
      <c r="E4">
        <v>9</v>
      </c>
      <c r="F4">
        <v>6</v>
      </c>
      <c r="G4">
        <v>14</v>
      </c>
      <c r="H4">
        <v>5</v>
      </c>
      <c r="I4">
        <v>7</v>
      </c>
      <c r="J4">
        <v>3</v>
      </c>
    </row>
    <row r="5" spans="1:10" x14ac:dyDescent="0.2">
      <c r="A5" t="s">
        <v>69</v>
      </c>
      <c r="B5">
        <v>16</v>
      </c>
      <c r="C5">
        <v>17</v>
      </c>
      <c r="D5">
        <v>18</v>
      </c>
      <c r="E5">
        <v>20</v>
      </c>
      <c r="F5">
        <v>21</v>
      </c>
      <c r="G5">
        <v>19</v>
      </c>
      <c r="H5">
        <v>19</v>
      </c>
      <c r="I5">
        <v>14</v>
      </c>
      <c r="J5">
        <v>7</v>
      </c>
    </row>
    <row r="6" spans="1:10" x14ac:dyDescent="0.2">
      <c r="A6" t="s">
        <v>70</v>
      </c>
      <c r="B6">
        <v>30</v>
      </c>
      <c r="C6">
        <v>31</v>
      </c>
      <c r="D6">
        <v>32</v>
      </c>
      <c r="E6">
        <v>32</v>
      </c>
      <c r="F6">
        <v>32</v>
      </c>
      <c r="G6">
        <v>31</v>
      </c>
      <c r="H6">
        <v>31</v>
      </c>
      <c r="I6">
        <v>31</v>
      </c>
      <c r="J6">
        <v>13</v>
      </c>
    </row>
    <row r="7" spans="1:10" x14ac:dyDescent="0.2">
      <c r="A7" t="s">
        <v>71</v>
      </c>
      <c r="B7">
        <v>12</v>
      </c>
      <c r="C7">
        <v>40</v>
      </c>
      <c r="D7">
        <v>28</v>
      </c>
      <c r="E7">
        <v>52</v>
      </c>
      <c r="F7">
        <v>32</v>
      </c>
      <c r="G7">
        <v>11</v>
      </c>
      <c r="H7">
        <v>3</v>
      </c>
      <c r="I7">
        <v>4</v>
      </c>
      <c r="J7">
        <v>2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8712-DA6F-864E-B0B8-E72AA712292F}">
  <dimension ref="A1:J29"/>
  <sheetViews>
    <sheetView workbookViewId="0">
      <selection activeCell="M20" sqref="M20"/>
    </sheetView>
  </sheetViews>
  <sheetFormatPr defaultColWidth="11.42578125" defaultRowHeight="12.75" x14ac:dyDescent="0.2"/>
  <cols>
    <col min="1" max="1" width="26" customWidth="1"/>
    <col min="2" max="2" width="13.7109375" customWidth="1"/>
  </cols>
  <sheetData>
    <row r="1" spans="1:10" ht="15.75" x14ac:dyDescent="0.25">
      <c r="A1" s="117" t="s">
        <v>145</v>
      </c>
      <c r="C1" s="118" t="s">
        <v>67</v>
      </c>
    </row>
    <row r="2" spans="1:10" x14ac:dyDescent="0.2">
      <c r="A2" s="24" t="s">
        <v>67</v>
      </c>
      <c r="C2" s="24" t="s">
        <v>67</v>
      </c>
    </row>
    <row r="3" spans="1:10" x14ac:dyDescent="0.2">
      <c r="A3" s="24" t="s">
        <v>146</v>
      </c>
      <c r="D3" s="119">
        <f>F3/12</f>
        <v>41580</v>
      </c>
      <c r="E3" s="119"/>
      <c r="F3" s="119">
        <v>498960</v>
      </c>
      <c r="G3" s="24" t="s">
        <v>147</v>
      </c>
    </row>
    <row r="4" spans="1:10" x14ac:dyDescent="0.2">
      <c r="A4" s="24"/>
      <c r="D4" s="119"/>
      <c r="E4" s="119"/>
      <c r="F4" s="119"/>
      <c r="G4" s="24"/>
    </row>
    <row r="5" spans="1:10" x14ac:dyDescent="0.2">
      <c r="A5" s="120" t="s">
        <v>148</v>
      </c>
      <c r="B5" s="121"/>
      <c r="D5" s="119"/>
      <c r="E5" s="119"/>
      <c r="F5" s="119"/>
    </row>
    <row r="6" spans="1:10" x14ac:dyDescent="0.2">
      <c r="A6" t="s">
        <v>149</v>
      </c>
      <c r="C6" s="118"/>
      <c r="D6" s="119">
        <v>2375</v>
      </c>
      <c r="E6" s="119"/>
      <c r="F6" s="119"/>
    </row>
    <row r="7" spans="1:10" x14ac:dyDescent="0.2">
      <c r="A7" s="24" t="s">
        <v>150</v>
      </c>
      <c r="C7" s="118"/>
      <c r="D7" s="119">
        <v>1192</v>
      </c>
      <c r="E7" s="122" t="s">
        <v>151</v>
      </c>
      <c r="F7" s="119"/>
    </row>
    <row r="8" spans="1:10" x14ac:dyDescent="0.2">
      <c r="A8" s="24" t="s">
        <v>152</v>
      </c>
      <c r="C8" s="118"/>
      <c r="D8" s="119">
        <v>3204</v>
      </c>
      <c r="E8" s="122" t="s">
        <v>151</v>
      </c>
      <c r="F8" s="119"/>
      <c r="G8" t="s">
        <v>67</v>
      </c>
    </row>
    <row r="9" spans="1:10" x14ac:dyDescent="0.2">
      <c r="A9" s="24" t="s">
        <v>153</v>
      </c>
      <c r="C9" s="118"/>
      <c r="D9" s="123">
        <v>1030</v>
      </c>
      <c r="E9" s="122" t="s">
        <v>151</v>
      </c>
      <c r="F9" s="119"/>
    </row>
    <row r="10" spans="1:10" x14ac:dyDescent="0.2">
      <c r="D10" s="119">
        <f>SUM(D6:D9)</f>
        <v>7801</v>
      </c>
      <c r="E10" s="119" t="s">
        <v>154</v>
      </c>
      <c r="F10" s="119"/>
    </row>
    <row r="11" spans="1:10" x14ac:dyDescent="0.2">
      <c r="D11" s="119"/>
      <c r="E11" s="119"/>
      <c r="F11" s="119"/>
      <c r="G11" t="s">
        <v>67</v>
      </c>
    </row>
    <row r="12" spans="1:10" x14ac:dyDescent="0.2">
      <c r="D12" s="119">
        <f>SUM(D3-D10)</f>
        <v>33779</v>
      </c>
      <c r="E12" s="122" t="s">
        <v>155</v>
      </c>
      <c r="F12" s="122">
        <f>SUM(D12/84)</f>
        <v>402.13095238095241</v>
      </c>
      <c r="G12" t="s">
        <v>156</v>
      </c>
      <c r="H12" s="40"/>
    </row>
    <row r="13" spans="1:10" x14ac:dyDescent="0.2">
      <c r="D13" s="119"/>
      <c r="E13" s="124"/>
      <c r="F13" s="122"/>
      <c r="G13" s="119"/>
      <c r="H13" s="40"/>
      <c r="I13" s="12"/>
    </row>
    <row r="14" spans="1:10" x14ac:dyDescent="0.2">
      <c r="A14" s="24" t="s">
        <v>157</v>
      </c>
      <c r="B14" s="24" t="s">
        <v>158</v>
      </c>
      <c r="C14" s="24" t="s">
        <v>159</v>
      </c>
      <c r="E14" s="40"/>
      <c r="H14" s="125"/>
      <c r="I14" s="12"/>
    </row>
    <row r="15" spans="1:10" x14ac:dyDescent="0.2">
      <c r="A15" s="120" t="s">
        <v>160</v>
      </c>
      <c r="B15" s="120" t="s">
        <v>161</v>
      </c>
      <c r="C15" s="120" t="s">
        <v>162</v>
      </c>
      <c r="D15" s="120" t="s">
        <v>163</v>
      </c>
      <c r="E15" s="126" t="s">
        <v>164</v>
      </c>
      <c r="F15" s="127" t="s">
        <v>165</v>
      </c>
      <c r="G15" s="6"/>
      <c r="H15" s="128" t="s">
        <v>166</v>
      </c>
      <c r="I15" s="6"/>
      <c r="J15" s="129" t="s">
        <v>167</v>
      </c>
    </row>
    <row r="16" spans="1:10" x14ac:dyDescent="0.2">
      <c r="A16" s="6"/>
      <c r="B16" s="1"/>
      <c r="C16" s="6"/>
      <c r="D16" s="6"/>
      <c r="E16" s="130"/>
      <c r="F16" s="6"/>
      <c r="G16" s="131"/>
      <c r="H16" s="124"/>
      <c r="I16" s="131"/>
    </row>
    <row r="17" spans="1:10" x14ac:dyDescent="0.2">
      <c r="A17" s="119">
        <f>D10*0.15</f>
        <v>1170.1499999999999</v>
      </c>
      <c r="B17" s="132">
        <v>20</v>
      </c>
      <c r="C17" s="119">
        <f>A17/B17</f>
        <v>58.507499999999993</v>
      </c>
      <c r="D17" s="119">
        <f>F12</f>
        <v>402.13095238095241</v>
      </c>
      <c r="E17" s="124">
        <f>SUM(C17:D17)</f>
        <v>460.6384523809524</v>
      </c>
      <c r="F17" s="133">
        <v>461</v>
      </c>
      <c r="G17" s="131"/>
      <c r="H17" s="134">
        <v>441</v>
      </c>
      <c r="I17" s="131"/>
      <c r="J17" s="133">
        <f>SUM(F17-H17)</f>
        <v>20</v>
      </c>
    </row>
    <row r="18" spans="1:10" x14ac:dyDescent="0.2">
      <c r="A18" s="119">
        <f>D10*0.33</f>
        <v>2574.33</v>
      </c>
      <c r="B18" s="132">
        <v>28</v>
      </c>
      <c r="C18" s="119">
        <f>A18/B18</f>
        <v>91.940357142857138</v>
      </c>
      <c r="D18" s="119">
        <f>F12</f>
        <v>402.13095238095241</v>
      </c>
      <c r="E18" s="124">
        <f>SUM(C18:D18)</f>
        <v>494.07130952380953</v>
      </c>
      <c r="F18" s="133">
        <v>494</v>
      </c>
      <c r="G18" s="131"/>
      <c r="H18" s="134">
        <v>474</v>
      </c>
      <c r="I18" s="131"/>
      <c r="J18" s="133">
        <f>SUM(F18-H18)</f>
        <v>20</v>
      </c>
    </row>
    <row r="19" spans="1:10" x14ac:dyDescent="0.2">
      <c r="A19" s="119">
        <f>D10*0.19</f>
        <v>1482.19</v>
      </c>
      <c r="B19" s="132">
        <v>16</v>
      </c>
      <c r="C19" s="119">
        <f>A19/B19</f>
        <v>92.636875000000003</v>
      </c>
      <c r="D19" s="119">
        <f>F12</f>
        <v>402.13095238095241</v>
      </c>
      <c r="E19" s="124">
        <f>SUM(C19:D19)</f>
        <v>494.76782738095244</v>
      </c>
      <c r="F19" s="133">
        <v>495</v>
      </c>
      <c r="G19" s="131"/>
      <c r="H19" s="134">
        <v>475</v>
      </c>
      <c r="I19" s="131"/>
      <c r="J19" s="133">
        <f>SUM(F19-H19)</f>
        <v>20</v>
      </c>
    </row>
    <row r="20" spans="1:10" x14ac:dyDescent="0.2">
      <c r="A20" s="119">
        <f>D10*0.06</f>
        <v>468.06</v>
      </c>
      <c r="B20" s="132">
        <v>4</v>
      </c>
      <c r="C20" s="119">
        <f>A20/B20</f>
        <v>117.015</v>
      </c>
      <c r="D20" s="119">
        <f>F12</f>
        <v>402.13095238095241</v>
      </c>
      <c r="E20" s="124">
        <f>SUM(C20:D20)</f>
        <v>519.14595238095239</v>
      </c>
      <c r="F20" s="133">
        <v>519</v>
      </c>
      <c r="G20" s="131"/>
      <c r="H20" s="134">
        <v>499</v>
      </c>
      <c r="I20" s="131"/>
      <c r="J20" s="133">
        <f>SUM(F20-H20)</f>
        <v>20</v>
      </c>
    </row>
    <row r="21" spans="1:10" x14ac:dyDescent="0.2">
      <c r="A21" s="119">
        <f>D10*0.27</f>
        <v>2106.27</v>
      </c>
      <c r="B21" s="132">
        <v>16</v>
      </c>
      <c r="C21" s="119">
        <f>A21/B21</f>
        <v>131.641875</v>
      </c>
      <c r="D21" s="119">
        <f>F12</f>
        <v>402.13095238095241</v>
      </c>
      <c r="E21" s="124">
        <f>SUM(C21:D21)</f>
        <v>533.77282738095244</v>
      </c>
      <c r="F21" s="133">
        <v>534</v>
      </c>
      <c r="G21" s="135"/>
      <c r="H21" s="136">
        <v>513</v>
      </c>
      <c r="I21" s="131"/>
      <c r="J21" s="133">
        <f>SUM(F21-H21)</f>
        <v>21</v>
      </c>
    </row>
    <row r="22" spans="1:10" x14ac:dyDescent="0.2">
      <c r="E22" s="137"/>
      <c r="G22" s="131"/>
      <c r="H22" s="138"/>
      <c r="I22" s="131"/>
    </row>
    <row r="23" spans="1:10" x14ac:dyDescent="0.2">
      <c r="A23" s="12" t="s">
        <v>168</v>
      </c>
      <c r="B23" s="12"/>
      <c r="E23" s="139"/>
      <c r="F23" s="26"/>
      <c r="G23" s="31"/>
      <c r="H23" s="140"/>
      <c r="I23" s="31"/>
    </row>
    <row r="24" spans="1:10" x14ac:dyDescent="0.2">
      <c r="A24" s="141">
        <f>F17</f>
        <v>461</v>
      </c>
      <c r="B24">
        <v>20</v>
      </c>
      <c r="C24">
        <f>SUM(A24*B24)</f>
        <v>9220</v>
      </c>
      <c r="E24" s="119"/>
      <c r="F24" s="131"/>
      <c r="G24" s="119"/>
      <c r="H24" s="131"/>
    </row>
    <row r="25" spans="1:10" x14ac:dyDescent="0.2">
      <c r="A25" s="141">
        <f>F18</f>
        <v>494</v>
      </c>
      <c r="B25">
        <v>28</v>
      </c>
      <c r="C25">
        <f>SUM(A25*B25)</f>
        <v>13832</v>
      </c>
      <c r="E25" s="119"/>
      <c r="F25" s="131"/>
      <c r="G25" s="119"/>
      <c r="H25" s="131"/>
    </row>
    <row r="26" spans="1:10" x14ac:dyDescent="0.2">
      <c r="A26" s="141">
        <f>F19</f>
        <v>495</v>
      </c>
      <c r="B26">
        <v>16</v>
      </c>
      <c r="C26" s="26">
        <f>SUM(A26*B26)</f>
        <v>7920</v>
      </c>
      <c r="E26" s="119"/>
      <c r="F26" s="131"/>
      <c r="G26" s="119"/>
      <c r="H26" s="131"/>
    </row>
    <row r="27" spans="1:10" x14ac:dyDescent="0.2">
      <c r="A27" s="141">
        <f>F20</f>
        <v>519</v>
      </c>
      <c r="B27">
        <v>4</v>
      </c>
      <c r="C27" s="26">
        <f>SUM(A27*B27)</f>
        <v>2076</v>
      </c>
      <c r="E27" s="119"/>
      <c r="F27" s="131"/>
      <c r="G27" s="119"/>
      <c r="H27" s="131"/>
    </row>
    <row r="28" spans="1:10" x14ac:dyDescent="0.2">
      <c r="A28" s="141">
        <f>F21</f>
        <v>534</v>
      </c>
      <c r="B28" s="121">
        <v>16</v>
      </c>
      <c r="C28" s="121">
        <f>SUM(A28*B28)</f>
        <v>8544</v>
      </c>
      <c r="E28" s="119"/>
      <c r="F28" s="131"/>
      <c r="G28" s="119"/>
      <c r="H28" s="131"/>
    </row>
    <row r="29" spans="1:10" x14ac:dyDescent="0.2">
      <c r="A29" s="141"/>
      <c r="B29">
        <f>SUM(B24:B28)</f>
        <v>84</v>
      </c>
      <c r="C29" s="12">
        <f>SUM(C24:C28)</f>
        <v>41592</v>
      </c>
      <c r="D29" s="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6460-0D56-0843-8D3E-248348ECB13F}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83A0-D955-3745-836C-2DE031F7EE74}">
  <dimension ref="A1:A14"/>
  <sheetViews>
    <sheetView workbookViewId="0">
      <selection activeCell="A7" sqref="A7"/>
    </sheetView>
  </sheetViews>
  <sheetFormatPr defaultColWidth="11.42578125" defaultRowHeight="12.75" x14ac:dyDescent="0.2"/>
  <cols>
    <col min="1" max="1" width="51.7109375" customWidth="1"/>
  </cols>
  <sheetData>
    <row r="1" spans="1:1" ht="23.1" customHeight="1" x14ac:dyDescent="0.2">
      <c r="A1" s="24" t="s">
        <v>194</v>
      </c>
    </row>
    <row r="2" spans="1:1" ht="23.1" customHeight="1" x14ac:dyDescent="0.2">
      <c r="A2" s="24" t="s">
        <v>195</v>
      </c>
    </row>
    <row r="3" spans="1:1" ht="23.1" customHeight="1" x14ac:dyDescent="0.2">
      <c r="A3" s="24" t="s">
        <v>197</v>
      </c>
    </row>
    <row r="4" spans="1:1" ht="23.1" customHeight="1" x14ac:dyDescent="0.2">
      <c r="A4" s="24" t="s">
        <v>196</v>
      </c>
    </row>
    <row r="5" spans="1:1" ht="23.1" customHeight="1" x14ac:dyDescent="0.2">
      <c r="A5" s="24" t="s">
        <v>198</v>
      </c>
    </row>
    <row r="6" spans="1:1" ht="23.1" customHeight="1" x14ac:dyDescent="0.2"/>
    <row r="7" spans="1:1" ht="23.1" customHeight="1" x14ac:dyDescent="0.2"/>
    <row r="8" spans="1:1" ht="23.1" customHeight="1" x14ac:dyDescent="0.2"/>
    <row r="9" spans="1:1" ht="23.1" customHeight="1" x14ac:dyDescent="0.2"/>
    <row r="10" spans="1:1" ht="23.1" customHeight="1" x14ac:dyDescent="0.2"/>
    <row r="11" spans="1:1" ht="23.1" customHeight="1" x14ac:dyDescent="0.2"/>
    <row r="12" spans="1:1" ht="23.1" customHeight="1" x14ac:dyDescent="0.2"/>
    <row r="13" spans="1:1" ht="23.1" customHeight="1" x14ac:dyDescent="0.2"/>
    <row r="14" spans="1:1" ht="23.1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HVV 2019</vt:lpstr>
      <vt:lpstr>Sheet1</vt:lpstr>
      <vt:lpstr>Historical</vt:lpstr>
      <vt:lpstr>Common Area Dues</vt:lpstr>
      <vt:lpstr>Sheet2</vt:lpstr>
      <vt:lpstr>To Do</vt:lpstr>
      <vt:lpstr>'HVV 2019'!Print_Area</vt:lpstr>
      <vt:lpstr>'HVV 2019'!Print_Titles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kjwalters</dc:creator>
  <cp:lastModifiedBy>J&amp;K</cp:lastModifiedBy>
  <cp:revision/>
  <cp:lastPrinted>2017-09-10T17:20:22Z</cp:lastPrinted>
  <dcterms:created xsi:type="dcterms:W3CDTF">2015-08-19T21:54:29Z</dcterms:created>
  <dcterms:modified xsi:type="dcterms:W3CDTF">2019-10-20T00:19:09Z</dcterms:modified>
</cp:coreProperties>
</file>